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20" yWindow="-120" windowWidth="20730" windowHeight="11040" tabRatio="639" activeTab="8"/>
  </bookViews>
  <sheets>
    <sheet name="Checklist" sheetId="57" r:id="rId1"/>
    <sheet name="F1" sheetId="58" r:id="rId2"/>
    <sheet name="F2" sheetId="66" r:id="rId3"/>
    <sheet name="F2.1" sheetId="67" r:id="rId4"/>
    <sheet name="F2.2" sheetId="68" r:id="rId5"/>
    <sheet name="F2.3" sheetId="69" r:id="rId6"/>
    <sheet name="F3" sheetId="93" r:id="rId7"/>
    <sheet name="F3.1" sheetId="101" r:id="rId8"/>
    <sheet name="F3.2" sheetId="109" r:id="rId9"/>
    <sheet name="F4" sheetId="102" r:id="rId10"/>
    <sheet name="F5" sheetId="103" r:id="rId11"/>
    <sheet name="F6" sheetId="104" r:id="rId12"/>
    <sheet name="F7" sheetId="105" r:id="rId13"/>
    <sheet name="F8" sheetId="106" r:id="rId14"/>
    <sheet name="F9" sheetId="64" r:id="rId15"/>
    <sheet name="F10" sheetId="81" r:id="rId16"/>
    <sheet name="F11" sheetId="107" r:id="rId17"/>
    <sheet name="F11.1" sheetId="111" r:id="rId18"/>
    <sheet name="F12" sheetId="110" r:id="rId19"/>
    <sheet name="F13" sheetId="71" r:id="rId20"/>
    <sheet name="F15" sheetId="91" r:id="rId21"/>
  </sheets>
  <externalReferences>
    <externalReference r:id="rId22"/>
    <externalReference r:id="rId23"/>
    <externalReference r:id="rId24"/>
  </externalReferences>
  <definedNames>
    <definedName name="__123Graph_A" localSheetId="6" hidden="1">[1]CE!#REF!</definedName>
    <definedName name="__123Graph_A" localSheetId="7" hidden="1">[1]CE!#REF!</definedName>
    <definedName name="__123Graph_A" localSheetId="9"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STNPLF" localSheetId="6" hidden="1">[1]CE!#REF!</definedName>
    <definedName name="__123Graph_ASTNPLF" localSheetId="7"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B" localSheetId="6" hidden="1">[1]CE!#REF!</definedName>
    <definedName name="__123Graph_B" localSheetId="7" hidden="1">[1]CE!#REF!</definedName>
    <definedName name="__123Graph_B" localSheetId="9"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STNPLF" localSheetId="6" hidden="1">[1]CE!#REF!</definedName>
    <definedName name="__123Graph_BSTNPLF" localSheetId="7"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C" localSheetId="6" hidden="1">[1]CE!#REF!</definedName>
    <definedName name="__123Graph_C" localSheetId="7" hidden="1">[1]CE!#REF!</definedName>
    <definedName name="__123Graph_C" localSheetId="9"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STNPLF" localSheetId="6" hidden="1">[1]CE!#REF!</definedName>
    <definedName name="__123Graph_CSTNPLF" localSheetId="7"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X" localSheetId="6" hidden="1">[1]CE!#REF!</definedName>
    <definedName name="__123Graph_X" localSheetId="7" hidden="1">[1]CE!#REF!</definedName>
    <definedName name="__123Graph_X" localSheetId="9"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STNPLF" localSheetId="6" hidden="1">[1]CE!#REF!</definedName>
    <definedName name="__123Graph_XSTNPLF" localSheetId="7"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Fill" localSheetId="6" hidden="1">#REF!</definedName>
    <definedName name="_Fill" localSheetId="7"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Order1" hidden="1">255</definedName>
    <definedName name="new" localSheetId="6" hidden="1">[2]CE!#REF!</definedName>
    <definedName name="new" localSheetId="7" hidden="1">[2]CE!#REF!</definedName>
    <definedName name="new" localSheetId="9"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_xlnm.Print_Area" localSheetId="0">Checklist!$A$1:$E$26</definedName>
    <definedName name="_xlnm.Print_Area" localSheetId="20">'F15'!$A$1:$R$31</definedName>
    <definedName name="_xlnm.Print_Area" localSheetId="11">'F6'!$B$1:$J$22</definedName>
    <definedName name="_xlnm.Print_Area" localSheetId="12">'F7'!$B$1:$J$23</definedName>
    <definedName name="_xlnm.Print_Area" localSheetId="13">'F8'!$B$2:$J$29</definedName>
    <definedName name="_xlnm.Print_Area" localSheetId="14">'F9'!$B$2:$F$26</definedName>
    <definedName name="xxxx" localSheetId="6" hidden="1">[3]CE!#REF!</definedName>
    <definedName name="xxxx" localSheetId="7" hidden="1">[3]CE!#REF!</definedName>
    <definedName name="xxxx" localSheetId="9"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s>
  <calcPr calcId="144525" iterate="1" iterateCount="10000"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01" l="1"/>
  <c r="H26" i="101"/>
  <c r="H19" i="101"/>
  <c r="H18" i="101"/>
  <c r="H17" i="101"/>
  <c r="H16" i="101"/>
  <c r="H15" i="101"/>
  <c r="H14" i="101"/>
  <c r="H13" i="101"/>
  <c r="H12" i="101"/>
  <c r="H11" i="101"/>
  <c r="H10" i="101"/>
  <c r="H9" i="101"/>
  <c r="H8" i="101"/>
  <c r="H20" i="101" s="1"/>
  <c r="Q29" i="91" l="1"/>
  <c r="Q14" i="91"/>
  <c r="Q15" i="91"/>
  <c r="Q18" i="91"/>
  <c r="Q20" i="91"/>
  <c r="Q21" i="91"/>
  <c r="Q22" i="91"/>
  <c r="Q24" i="91"/>
  <c r="Q13" i="91"/>
  <c r="E56" i="91"/>
  <c r="F56" i="91"/>
  <c r="G56" i="91"/>
  <c r="H56" i="91"/>
  <c r="I56" i="91"/>
  <c r="J56" i="91"/>
  <c r="K56" i="91"/>
  <c r="L56" i="91"/>
  <c r="M56" i="91"/>
  <c r="N56" i="91"/>
  <c r="O56" i="91"/>
  <c r="P56" i="91"/>
  <c r="Q56" i="91"/>
  <c r="E57" i="91"/>
  <c r="F57" i="91"/>
  <c r="G57" i="91"/>
  <c r="H57" i="91"/>
  <c r="I57" i="91"/>
  <c r="J57" i="91"/>
  <c r="K57" i="91"/>
  <c r="L57" i="91"/>
  <c r="M57" i="91"/>
  <c r="N57" i="91"/>
  <c r="O57" i="91"/>
  <c r="P57" i="91"/>
  <c r="Q57" i="91"/>
  <c r="E58" i="91"/>
  <c r="F58" i="91"/>
  <c r="G58" i="91"/>
  <c r="H58" i="91"/>
  <c r="I58" i="91"/>
  <c r="J58" i="91"/>
  <c r="K58" i="91"/>
  <c r="L58" i="91"/>
  <c r="M58" i="91"/>
  <c r="N58" i="91"/>
  <c r="O58" i="91"/>
  <c r="P58" i="91"/>
  <c r="Q58" i="91"/>
  <c r="E59" i="91"/>
  <c r="F59" i="91"/>
  <c r="G59" i="91"/>
  <c r="H59" i="91"/>
  <c r="I59" i="91"/>
  <c r="J59" i="91"/>
  <c r="K59" i="91"/>
  <c r="L59" i="91"/>
  <c r="M59" i="91"/>
  <c r="N59" i="91"/>
  <c r="O59" i="91"/>
  <c r="P59" i="91"/>
  <c r="Q59" i="91"/>
  <c r="E60" i="91"/>
  <c r="F60" i="91"/>
  <c r="G60" i="91"/>
  <c r="H60" i="91"/>
  <c r="I60" i="91"/>
  <c r="J60" i="91"/>
  <c r="K60" i="91"/>
  <c r="L60" i="91"/>
  <c r="M60" i="91"/>
  <c r="N60" i="91"/>
  <c r="O60" i="91"/>
  <c r="P60" i="91"/>
  <c r="Q60" i="91"/>
  <c r="E61" i="91"/>
  <c r="F61" i="91"/>
  <c r="G61" i="91"/>
  <c r="H61" i="91"/>
  <c r="I61" i="91"/>
  <c r="J61" i="91"/>
  <c r="K61" i="91"/>
  <c r="L61" i="91"/>
  <c r="M61" i="91"/>
  <c r="N61" i="91"/>
  <c r="O61" i="91"/>
  <c r="P61" i="91"/>
  <c r="Q61" i="91"/>
  <c r="E62" i="91"/>
  <c r="F62" i="91"/>
  <c r="G62" i="91"/>
  <c r="H62" i="91"/>
  <c r="I62" i="91"/>
  <c r="J62" i="91"/>
  <c r="K62" i="91"/>
  <c r="L62" i="91"/>
  <c r="M62" i="91"/>
  <c r="N62" i="91"/>
  <c r="O62" i="91"/>
  <c r="P62" i="91"/>
  <c r="Q62" i="91"/>
  <c r="E63" i="91"/>
  <c r="F63" i="91"/>
  <c r="G63" i="91"/>
  <c r="H63" i="91"/>
  <c r="I63" i="91"/>
  <c r="J63" i="91"/>
  <c r="K63" i="91"/>
  <c r="L63" i="91"/>
  <c r="M63" i="91"/>
  <c r="N63" i="91"/>
  <c r="O63" i="91"/>
  <c r="P63" i="91"/>
  <c r="Q63" i="91"/>
  <c r="E64" i="91"/>
  <c r="F64" i="91"/>
  <c r="G64" i="91"/>
  <c r="H64" i="91"/>
  <c r="I64" i="91"/>
  <c r="J64" i="91"/>
  <c r="K64" i="91"/>
  <c r="L64" i="91"/>
  <c r="M64" i="91"/>
  <c r="N64" i="91"/>
  <c r="O64" i="91"/>
  <c r="P64" i="91"/>
  <c r="Q64" i="91"/>
  <c r="E65" i="91"/>
  <c r="F65" i="91"/>
  <c r="G65" i="91"/>
  <c r="H65" i="91"/>
  <c r="I65" i="91"/>
  <c r="J65" i="91"/>
  <c r="K65" i="91"/>
  <c r="L65" i="91"/>
  <c r="M65" i="91"/>
  <c r="N65" i="91"/>
  <c r="O65" i="91"/>
  <c r="P65" i="91"/>
  <c r="Q65" i="91"/>
  <c r="E66" i="91"/>
  <c r="F66" i="91"/>
  <c r="G66" i="91"/>
  <c r="H66" i="91"/>
  <c r="I66" i="91"/>
  <c r="J66" i="91"/>
  <c r="K66" i="91"/>
  <c r="L66" i="91"/>
  <c r="M66" i="91"/>
  <c r="N66" i="91"/>
  <c r="O66" i="91"/>
  <c r="P66" i="91"/>
  <c r="Q66" i="91"/>
  <c r="E67" i="91"/>
  <c r="F67" i="91"/>
  <c r="G67" i="91"/>
  <c r="H67" i="91"/>
  <c r="I67" i="91"/>
  <c r="J67" i="91"/>
  <c r="K67" i="91"/>
  <c r="L67" i="91"/>
  <c r="M67" i="91"/>
  <c r="N67" i="91"/>
  <c r="O67" i="91"/>
  <c r="P67" i="91"/>
  <c r="Q67" i="91"/>
  <c r="E68" i="91"/>
  <c r="F68" i="91"/>
  <c r="G68" i="91"/>
  <c r="H68" i="91"/>
  <c r="I68" i="91"/>
  <c r="J68" i="91"/>
  <c r="K68" i="91"/>
  <c r="L68" i="91"/>
  <c r="M68" i="91"/>
  <c r="N68" i="91"/>
  <c r="O68" i="91"/>
  <c r="P68" i="91"/>
  <c r="Q68" i="91"/>
  <c r="E69" i="91"/>
  <c r="F69" i="91"/>
  <c r="G69" i="91"/>
  <c r="H69" i="91"/>
  <c r="I69" i="91"/>
  <c r="J69" i="91"/>
  <c r="K69" i="91"/>
  <c r="L69" i="91"/>
  <c r="M69" i="91"/>
  <c r="N69" i="91"/>
  <c r="O69" i="91"/>
  <c r="P69" i="91"/>
  <c r="Q69" i="91"/>
  <c r="E70" i="91"/>
  <c r="F70" i="91"/>
  <c r="G70" i="91"/>
  <c r="H70" i="91"/>
  <c r="I70" i="91"/>
  <c r="J70" i="91"/>
  <c r="K70" i="91"/>
  <c r="L70" i="91"/>
  <c r="M70" i="91"/>
  <c r="N70" i="91"/>
  <c r="O70" i="91"/>
  <c r="P70" i="91"/>
  <c r="Q70" i="91"/>
  <c r="E71" i="91"/>
  <c r="F71" i="91"/>
  <c r="G71" i="91"/>
  <c r="H71" i="91"/>
  <c r="I71" i="91"/>
  <c r="J71" i="91"/>
  <c r="K71" i="91"/>
  <c r="L71" i="91"/>
  <c r="M71" i="91"/>
  <c r="N71" i="91"/>
  <c r="O71" i="91"/>
  <c r="P71" i="91"/>
  <c r="Q71" i="91"/>
  <c r="E72" i="91"/>
  <c r="F72" i="91"/>
  <c r="G72" i="91"/>
  <c r="H72" i="91"/>
  <c r="I72" i="91"/>
  <c r="J72" i="91"/>
  <c r="K72" i="91"/>
  <c r="L72" i="91"/>
  <c r="M72" i="91"/>
  <c r="N72" i="91"/>
  <c r="O72" i="91"/>
  <c r="P72" i="91"/>
  <c r="Q72" i="91"/>
  <c r="E73" i="91"/>
  <c r="F73" i="91"/>
  <c r="G73" i="91"/>
  <c r="H73" i="91"/>
  <c r="I73" i="91"/>
  <c r="J73" i="91"/>
  <c r="K73" i="91"/>
  <c r="L73" i="91"/>
  <c r="M73" i="91"/>
  <c r="N73" i="91"/>
  <c r="O73" i="91"/>
  <c r="P73" i="91"/>
  <c r="Q73" i="91"/>
  <c r="E74" i="91"/>
  <c r="F74" i="91"/>
  <c r="G74" i="91"/>
  <c r="H74" i="91"/>
  <c r="I74" i="91"/>
  <c r="J74" i="91"/>
  <c r="K74" i="91"/>
  <c r="L74" i="91"/>
  <c r="M74" i="91"/>
  <c r="N74" i="91"/>
  <c r="O74" i="91"/>
  <c r="P74" i="91"/>
  <c r="Q74" i="91"/>
  <c r="E75" i="91"/>
  <c r="F75" i="91"/>
  <c r="G75" i="91"/>
  <c r="H75" i="91"/>
  <c r="I75" i="91"/>
  <c r="J75" i="91"/>
  <c r="K75" i="91"/>
  <c r="L75" i="91"/>
  <c r="M75" i="91"/>
  <c r="N75" i="91"/>
  <c r="O75" i="91"/>
  <c r="P75" i="91"/>
  <c r="Q75" i="91"/>
  <c r="E76" i="91"/>
  <c r="F76" i="91"/>
  <c r="G76" i="91"/>
  <c r="H76" i="91"/>
  <c r="I76" i="91"/>
  <c r="J76" i="91"/>
  <c r="K76" i="91"/>
  <c r="L76" i="91"/>
  <c r="M76" i="91"/>
  <c r="N76" i="91"/>
  <c r="O76" i="91"/>
  <c r="P76" i="91"/>
  <c r="Q76" i="91"/>
  <c r="E77" i="91"/>
  <c r="F77" i="91"/>
  <c r="G77" i="91"/>
  <c r="H77" i="91"/>
  <c r="I77" i="91"/>
  <c r="J77" i="91"/>
  <c r="K77" i="91"/>
  <c r="L77" i="91"/>
  <c r="M77" i="91"/>
  <c r="N77" i="91"/>
  <c r="O77" i="91"/>
  <c r="P77" i="91"/>
  <c r="Q77" i="91"/>
  <c r="E79" i="91"/>
  <c r="F79" i="91"/>
  <c r="G79" i="91"/>
  <c r="H79" i="91"/>
  <c r="I79" i="91"/>
  <c r="J79" i="91"/>
  <c r="K79" i="91"/>
  <c r="L79" i="91"/>
  <c r="M79" i="91"/>
  <c r="N79" i="91"/>
  <c r="O79" i="91"/>
  <c r="P79" i="91"/>
  <c r="Q79" i="91"/>
  <c r="E80" i="91"/>
  <c r="F80" i="91"/>
  <c r="G80" i="91"/>
  <c r="H80" i="91"/>
  <c r="I80" i="91"/>
  <c r="J80" i="91"/>
  <c r="K80" i="91"/>
  <c r="L80" i="91"/>
  <c r="M80" i="91"/>
  <c r="N80" i="91"/>
  <c r="O80" i="91"/>
  <c r="P80" i="91"/>
  <c r="Q80" i="91"/>
  <c r="E81" i="91"/>
  <c r="F81" i="91"/>
  <c r="G81" i="91"/>
  <c r="H81" i="91"/>
  <c r="I81" i="91"/>
  <c r="J81" i="91"/>
  <c r="K81" i="91"/>
  <c r="L81" i="91"/>
  <c r="M81" i="91"/>
  <c r="N81" i="91"/>
  <c r="O81" i="91"/>
  <c r="P81" i="91"/>
  <c r="Q81" i="91"/>
  <c r="E82" i="91"/>
  <c r="F82" i="91"/>
  <c r="G82" i="91"/>
  <c r="H82" i="91"/>
  <c r="I82" i="91"/>
  <c r="J82" i="91"/>
  <c r="K82" i="91"/>
  <c r="L82" i="91"/>
  <c r="M82" i="91"/>
  <c r="N82" i="91"/>
  <c r="O82" i="91"/>
  <c r="P82" i="91"/>
  <c r="Q82" i="91"/>
  <c r="F55" i="91"/>
  <c r="F78" i="91" s="1"/>
  <c r="G55" i="91"/>
  <c r="G78" i="91" s="1"/>
  <c r="H55" i="91"/>
  <c r="H78" i="91" s="1"/>
  <c r="I55" i="91"/>
  <c r="I78" i="91" s="1"/>
  <c r="J55" i="91"/>
  <c r="J78" i="91" s="1"/>
  <c r="K55" i="91"/>
  <c r="K78" i="91" s="1"/>
  <c r="L55" i="91"/>
  <c r="L78" i="91" s="1"/>
  <c r="M55" i="91"/>
  <c r="M78" i="91" s="1"/>
  <c r="N55" i="91"/>
  <c r="N78" i="91" s="1"/>
  <c r="O55" i="91"/>
  <c r="O78" i="91" s="1"/>
  <c r="P55" i="91"/>
  <c r="P78" i="91" s="1"/>
  <c r="Q55" i="91"/>
  <c r="Q78" i="91" s="1"/>
  <c r="E55" i="91"/>
  <c r="E78" i="91" s="1"/>
  <c r="E36" i="67"/>
  <c r="F36" i="67"/>
  <c r="D36" i="67"/>
  <c r="E38" i="68"/>
  <c r="F38" i="68"/>
  <c r="D38" i="68"/>
  <c r="E21" i="69"/>
  <c r="F21" i="69"/>
  <c r="D21" i="69"/>
  <c r="E67" i="103" l="1"/>
  <c r="F67" i="103"/>
  <c r="D67" i="103"/>
  <c r="E68" i="103"/>
  <c r="F68" i="103"/>
  <c r="D68" i="103"/>
  <c r="E63" i="103"/>
  <c r="F63" i="103"/>
  <c r="E62" i="103"/>
  <c r="F62" i="103"/>
  <c r="E61" i="103"/>
  <c r="E64" i="103" s="1"/>
  <c r="F61" i="103"/>
  <c r="F64" i="103" s="1"/>
  <c r="D65" i="103"/>
  <c r="D66" i="103" s="1"/>
  <c r="D62" i="103"/>
  <c r="D63" i="103"/>
  <c r="D61" i="103"/>
  <c r="F34" i="103"/>
  <c r="F65" i="103" s="1"/>
  <c r="E34" i="103"/>
  <c r="E65" i="103" s="1"/>
  <c r="D35" i="103"/>
  <c r="D69" i="103" l="1"/>
  <c r="F69" i="103"/>
  <c r="E66" i="103"/>
  <c r="E69" i="103"/>
  <c r="F66" i="103"/>
  <c r="E18" i="69"/>
  <c r="F18" i="69"/>
  <c r="D18" i="69"/>
  <c r="F59" i="103" l="1"/>
  <c r="E59" i="103"/>
  <c r="F54" i="103"/>
  <c r="E54" i="103"/>
  <c r="H53" i="102" l="1"/>
  <c r="K53" i="102"/>
  <c r="L53" i="102"/>
  <c r="G37" i="102"/>
  <c r="H37" i="102"/>
  <c r="K37" i="102"/>
  <c r="J11" i="58" s="1"/>
  <c r="L37" i="102"/>
  <c r="G21" i="102"/>
  <c r="H21" i="102"/>
  <c r="J21" i="102"/>
  <c r="K21" i="102"/>
  <c r="L21" i="102"/>
  <c r="F21" i="102"/>
  <c r="I29" i="81"/>
  <c r="I28" i="81" s="1"/>
  <c r="L19" i="58" l="1"/>
  <c r="K19" i="58" s="1"/>
  <c r="J19" i="58"/>
  <c r="I19" i="58" s="1"/>
  <c r="G38" i="81"/>
  <c r="F29" i="81"/>
  <c r="F28" i="81" s="1"/>
  <c r="G28" i="81" s="1"/>
  <c r="F30" i="81"/>
  <c r="G30" i="81" s="1"/>
  <c r="F14" i="110"/>
  <c r="G14" i="110" s="1"/>
  <c r="B41" i="81"/>
  <c r="B42" i="81" s="1"/>
  <c r="B37" i="81"/>
  <c r="B38" i="81" s="1"/>
  <c r="B33" i="81"/>
  <c r="B34" i="81" s="1"/>
  <c r="I30" i="81"/>
  <c r="B27" i="81"/>
  <c r="B28" i="81" s="1"/>
  <c r="B29" i="81" s="1"/>
  <c r="B30" i="81" s="1"/>
  <c r="G24" i="81"/>
  <c r="G23" i="81"/>
  <c r="B23" i="81"/>
  <c r="B24" i="81" s="1"/>
  <c r="B19" i="81"/>
  <c r="B20" i="81" s="1"/>
  <c r="B15" i="81"/>
  <c r="B16" i="81" s="1"/>
  <c r="N30" i="71"/>
  <c r="M30" i="71"/>
  <c r="L30" i="71"/>
  <c r="K30" i="71"/>
  <c r="J30" i="71"/>
  <c r="I30" i="71"/>
  <c r="H30" i="71"/>
  <c r="G30" i="71"/>
  <c r="F30" i="71"/>
  <c r="E30" i="71"/>
  <c r="D30" i="71"/>
  <c r="C30" i="71"/>
  <c r="N28" i="71"/>
  <c r="N32" i="71" s="1"/>
  <c r="M28" i="71"/>
  <c r="M32" i="71" s="1"/>
  <c r="L28" i="71"/>
  <c r="L32" i="71" s="1"/>
  <c r="K28" i="71"/>
  <c r="K32" i="71" s="1"/>
  <c r="J28" i="71"/>
  <c r="J32" i="71" s="1"/>
  <c r="I28" i="71"/>
  <c r="I32" i="71" s="1"/>
  <c r="H28" i="71"/>
  <c r="H32" i="71" s="1"/>
  <c r="G28" i="71"/>
  <c r="G32" i="71" s="1"/>
  <c r="F28" i="71"/>
  <c r="F32" i="71" s="1"/>
  <c r="E28" i="71"/>
  <c r="E32" i="71" s="1"/>
  <c r="D28" i="71"/>
  <c r="D32" i="71" s="1"/>
  <c r="C28" i="71"/>
  <c r="N21" i="71"/>
  <c r="M21" i="71"/>
  <c r="L21" i="71"/>
  <c r="K21" i="71"/>
  <c r="J21" i="71"/>
  <c r="I21" i="71"/>
  <c r="H21" i="71"/>
  <c r="G21" i="71"/>
  <c r="F21" i="71"/>
  <c r="E21" i="71"/>
  <c r="D21" i="71"/>
  <c r="C21" i="71"/>
  <c r="N19" i="71"/>
  <c r="N23" i="71" s="1"/>
  <c r="M19" i="71"/>
  <c r="M23" i="71" s="1"/>
  <c r="L19" i="71"/>
  <c r="L23" i="71" s="1"/>
  <c r="K19" i="71"/>
  <c r="K23" i="71" s="1"/>
  <c r="J19" i="71"/>
  <c r="J23" i="71" s="1"/>
  <c r="I19" i="71"/>
  <c r="I23" i="71" s="1"/>
  <c r="H19" i="71"/>
  <c r="H23" i="71" s="1"/>
  <c r="G19" i="71"/>
  <c r="G23" i="71" s="1"/>
  <c r="F19" i="71"/>
  <c r="F23" i="71" s="1"/>
  <c r="E19" i="71"/>
  <c r="E23" i="71" s="1"/>
  <c r="D19" i="71"/>
  <c r="D23" i="71" s="1"/>
  <c r="C19" i="71"/>
  <c r="C23" i="71" s="1"/>
  <c r="N11" i="71"/>
  <c r="M11" i="71"/>
  <c r="L11" i="71"/>
  <c r="K11" i="71"/>
  <c r="J11" i="71"/>
  <c r="I11" i="71"/>
  <c r="H11" i="71"/>
  <c r="G11" i="71"/>
  <c r="F11" i="71"/>
  <c r="E11" i="71"/>
  <c r="D11" i="71"/>
  <c r="C11" i="71"/>
  <c r="N9" i="71"/>
  <c r="N13" i="71" s="1"/>
  <c r="M9" i="71"/>
  <c r="M13" i="71" s="1"/>
  <c r="L9" i="71"/>
  <c r="L13" i="71" s="1"/>
  <c r="K9" i="71"/>
  <c r="K13" i="71" s="1"/>
  <c r="J9" i="71"/>
  <c r="J13" i="71" s="1"/>
  <c r="I9" i="71"/>
  <c r="I13" i="71" s="1"/>
  <c r="H9" i="71"/>
  <c r="H13" i="71" s="1"/>
  <c r="G9" i="71"/>
  <c r="G13" i="71" s="1"/>
  <c r="F9" i="71"/>
  <c r="F13" i="71" s="1"/>
  <c r="E9" i="71"/>
  <c r="E13" i="71" s="1"/>
  <c r="D9" i="71"/>
  <c r="D13" i="71" s="1"/>
  <c r="C9" i="71"/>
  <c r="O11" i="71" l="1"/>
  <c r="O21" i="71"/>
  <c r="O30" i="71"/>
  <c r="G29" i="81"/>
  <c r="C32" i="71"/>
  <c r="O9" i="71"/>
  <c r="O13" i="71" s="1"/>
  <c r="C13" i="71"/>
  <c r="O19" i="71"/>
  <c r="O28" i="71"/>
  <c r="O23" i="71" l="1"/>
  <c r="O32" i="71"/>
  <c r="AN31" i="111"/>
  <c r="AM31" i="111"/>
  <c r="AL31" i="111"/>
  <c r="AK31" i="111"/>
  <c r="AJ31" i="111"/>
  <c r="AI31" i="111"/>
  <c r="AH31" i="111"/>
  <c r="AG31" i="111"/>
  <c r="AF31" i="111"/>
  <c r="AE31" i="111"/>
  <c r="AD31" i="111"/>
  <c r="AC31" i="111"/>
  <c r="AB31" i="111"/>
  <c r="AA31" i="111"/>
  <c r="Z31" i="111"/>
  <c r="Y31" i="111"/>
  <c r="X31" i="111"/>
  <c r="W31" i="111"/>
  <c r="V31" i="111"/>
  <c r="U31" i="111"/>
  <c r="T31" i="111"/>
  <c r="S31" i="111"/>
  <c r="R31" i="111"/>
  <c r="Q31" i="111"/>
  <c r="P31" i="111"/>
  <c r="O31" i="111"/>
  <c r="N31" i="111"/>
  <c r="M31" i="111"/>
  <c r="L31" i="111"/>
  <c r="K31" i="111"/>
  <c r="J31" i="111"/>
  <c r="I31" i="111"/>
  <c r="H31" i="111"/>
  <c r="G31" i="111"/>
  <c r="F31" i="111"/>
  <c r="E31" i="111"/>
  <c r="AN21" i="111"/>
  <c r="AN32" i="111" s="1"/>
  <c r="AM21" i="111"/>
  <c r="AM32" i="111" s="1"/>
  <c r="AL21" i="111"/>
  <c r="AL32" i="111" s="1"/>
  <c r="AK21" i="111"/>
  <c r="AK32" i="111" s="1"/>
  <c r="AJ21" i="111"/>
  <c r="AJ32" i="111" s="1"/>
  <c r="AI21" i="111"/>
  <c r="AI32" i="111" s="1"/>
  <c r="AH21" i="111"/>
  <c r="AH32" i="111" s="1"/>
  <c r="AG21" i="111"/>
  <c r="AG32" i="111" s="1"/>
  <c r="AF21" i="111"/>
  <c r="AF32" i="111" s="1"/>
  <c r="AE21" i="111"/>
  <c r="AE32" i="111" s="1"/>
  <c r="AD21" i="111"/>
  <c r="AD32" i="111" s="1"/>
  <c r="AC21" i="111"/>
  <c r="AC32" i="111" s="1"/>
  <c r="AB21" i="111"/>
  <c r="AB32" i="111" s="1"/>
  <c r="AA21" i="111"/>
  <c r="AA32" i="111" s="1"/>
  <c r="Z21" i="111"/>
  <c r="Z32" i="111" s="1"/>
  <c r="Y21" i="111"/>
  <c r="Y32" i="111" s="1"/>
  <c r="X21" i="111"/>
  <c r="X32" i="111" s="1"/>
  <c r="W21" i="111"/>
  <c r="W32" i="111" s="1"/>
  <c r="V21" i="111"/>
  <c r="V32" i="111" s="1"/>
  <c r="U21" i="111"/>
  <c r="U32" i="111" s="1"/>
  <c r="T21" i="111"/>
  <c r="T32" i="111" s="1"/>
  <c r="S21" i="111"/>
  <c r="S32" i="111" s="1"/>
  <c r="R21" i="111"/>
  <c r="R32" i="111" s="1"/>
  <c r="Q21" i="111"/>
  <c r="Q32" i="111" s="1"/>
  <c r="P21" i="111"/>
  <c r="P32" i="111" s="1"/>
  <c r="O21" i="111"/>
  <c r="O32" i="111" s="1"/>
  <c r="N21" i="111"/>
  <c r="N32" i="111" s="1"/>
  <c r="M21" i="111"/>
  <c r="M32" i="111" s="1"/>
  <c r="L21" i="111"/>
  <c r="L32" i="111" s="1"/>
  <c r="K21" i="111"/>
  <c r="K32" i="111" s="1"/>
  <c r="J21" i="111"/>
  <c r="J32" i="111" s="1"/>
  <c r="I21" i="111"/>
  <c r="I32" i="111" s="1"/>
  <c r="H21" i="111"/>
  <c r="H32" i="111" s="1"/>
  <c r="G21" i="111"/>
  <c r="G32" i="111" s="1"/>
  <c r="F21" i="111"/>
  <c r="F32" i="111" s="1"/>
  <c r="E21" i="111"/>
  <c r="E32" i="111" s="1"/>
  <c r="AN14" i="111"/>
  <c r="AN16" i="111" s="1"/>
  <c r="AM14" i="111"/>
  <c r="AM16" i="111" s="1"/>
  <c r="AL14" i="111"/>
  <c r="AL16" i="111" s="1"/>
  <c r="AK14" i="111"/>
  <c r="AK16" i="111" s="1"/>
  <c r="AJ14" i="111"/>
  <c r="AJ16" i="111" s="1"/>
  <c r="AI14" i="111"/>
  <c r="AI16" i="111" s="1"/>
  <c r="AH14" i="111"/>
  <c r="AH16" i="111" s="1"/>
  <c r="AG14" i="111"/>
  <c r="AG16" i="111" s="1"/>
  <c r="AF14" i="111"/>
  <c r="AF16" i="111" s="1"/>
  <c r="AE14" i="111"/>
  <c r="AE16" i="111" s="1"/>
  <c r="AD14" i="111"/>
  <c r="AD16" i="111" s="1"/>
  <c r="AC14" i="111"/>
  <c r="AC16" i="111" s="1"/>
  <c r="AB14" i="111"/>
  <c r="AB16" i="111" s="1"/>
  <c r="AA14" i="111"/>
  <c r="AA16" i="111" s="1"/>
  <c r="Z14" i="111"/>
  <c r="Z16" i="111" s="1"/>
  <c r="Y14" i="111"/>
  <c r="Y16" i="111" s="1"/>
  <c r="X14" i="111"/>
  <c r="X16" i="111" s="1"/>
  <c r="W14" i="111"/>
  <c r="W16" i="111" s="1"/>
  <c r="V14" i="111"/>
  <c r="V16" i="111" s="1"/>
  <c r="U14" i="111"/>
  <c r="U16" i="111" s="1"/>
  <c r="T14" i="111"/>
  <c r="T16" i="111" s="1"/>
  <c r="S14" i="111"/>
  <c r="S16" i="111" s="1"/>
  <c r="R14" i="111"/>
  <c r="R16" i="111" s="1"/>
  <c r="Q14" i="111"/>
  <c r="Q16" i="111" s="1"/>
  <c r="P14" i="111"/>
  <c r="P16" i="111" s="1"/>
  <c r="O14" i="111"/>
  <c r="O16" i="111" s="1"/>
  <c r="N14" i="111"/>
  <c r="N16" i="111" s="1"/>
  <c r="M14" i="111"/>
  <c r="M16" i="111" s="1"/>
  <c r="L14" i="111"/>
  <c r="L16" i="111" s="1"/>
  <c r="K14" i="111"/>
  <c r="K16" i="111" s="1"/>
  <c r="J14" i="111"/>
  <c r="J16" i="111" s="1"/>
  <c r="I14" i="111"/>
  <c r="I16" i="111" s="1"/>
  <c r="H14" i="111"/>
  <c r="H16" i="111" s="1"/>
  <c r="G14" i="111"/>
  <c r="G16" i="111" s="1"/>
  <c r="F14" i="111"/>
  <c r="F16" i="111" s="1"/>
  <c r="E14" i="111"/>
  <c r="E16" i="111" s="1"/>
  <c r="B51" i="107"/>
  <c r="B52" i="107" s="1"/>
  <c r="B53" i="107" s="1"/>
  <c r="V31" i="107"/>
  <c r="U31" i="107"/>
  <c r="T31" i="107"/>
  <c r="S31" i="107"/>
  <c r="R31" i="107"/>
  <c r="Q31" i="107"/>
  <c r="P31" i="107"/>
  <c r="O31" i="107"/>
  <c r="N31" i="107"/>
  <c r="M31" i="107"/>
  <c r="L31" i="107"/>
  <c r="K31" i="107"/>
  <c r="J31" i="107"/>
  <c r="I31" i="107"/>
  <c r="H31" i="107"/>
  <c r="G31" i="107"/>
  <c r="F31" i="107"/>
  <c r="E31" i="107"/>
  <c r="V21" i="107"/>
  <c r="V32" i="107" s="1"/>
  <c r="U21" i="107"/>
  <c r="U32" i="107" s="1"/>
  <c r="T21" i="107"/>
  <c r="T32" i="107" s="1"/>
  <c r="S21" i="107"/>
  <c r="S32" i="107" s="1"/>
  <c r="R21" i="107"/>
  <c r="R32" i="107" s="1"/>
  <c r="Q21" i="107"/>
  <c r="Q32" i="107" s="1"/>
  <c r="P21" i="107"/>
  <c r="P32" i="107" s="1"/>
  <c r="O21" i="107"/>
  <c r="O32" i="107" s="1"/>
  <c r="N21" i="107"/>
  <c r="N32" i="107" s="1"/>
  <c r="M21" i="107"/>
  <c r="M32" i="107" s="1"/>
  <c r="L21" i="107"/>
  <c r="L32" i="107" s="1"/>
  <c r="K21" i="107"/>
  <c r="K32" i="107" s="1"/>
  <c r="J21" i="107"/>
  <c r="J32" i="107" s="1"/>
  <c r="I21" i="107"/>
  <c r="I32" i="107" s="1"/>
  <c r="H21" i="107"/>
  <c r="H32" i="107" s="1"/>
  <c r="G21" i="107"/>
  <c r="G32" i="107" s="1"/>
  <c r="F21" i="107"/>
  <c r="F32" i="107" s="1"/>
  <c r="E21" i="107"/>
  <c r="E32" i="107" s="1"/>
  <c r="V14" i="107"/>
  <c r="V16" i="107" s="1"/>
  <c r="U14" i="107"/>
  <c r="U16" i="107" s="1"/>
  <c r="T14" i="107"/>
  <c r="T16" i="107" s="1"/>
  <c r="S14" i="107"/>
  <c r="S16" i="107" s="1"/>
  <c r="R14" i="107"/>
  <c r="R16" i="107" s="1"/>
  <c r="Q14" i="107"/>
  <c r="Q16" i="107" s="1"/>
  <c r="P14" i="107"/>
  <c r="P16" i="107" s="1"/>
  <c r="O14" i="107"/>
  <c r="O16" i="107" s="1"/>
  <c r="N14" i="107"/>
  <c r="N16" i="107" s="1"/>
  <c r="M14" i="107"/>
  <c r="M16" i="107" s="1"/>
  <c r="L14" i="107"/>
  <c r="L16" i="107" s="1"/>
  <c r="K14" i="107"/>
  <c r="K16" i="107" s="1"/>
  <c r="J14" i="107"/>
  <c r="J16" i="107" s="1"/>
  <c r="I14" i="107"/>
  <c r="I16" i="107" s="1"/>
  <c r="H14" i="107"/>
  <c r="H16" i="107" s="1"/>
  <c r="G14" i="107"/>
  <c r="G16" i="107" s="1"/>
  <c r="F14" i="107"/>
  <c r="F16" i="107" s="1"/>
  <c r="E14" i="107"/>
  <c r="E16"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E34" i="111" l="1"/>
  <c r="F34" i="111"/>
  <c r="G34" i="111"/>
  <c r="H34" i="111"/>
  <c r="I34" i="111"/>
  <c r="J34" i="111"/>
  <c r="K34" i="111"/>
  <c r="L34" i="111"/>
  <c r="M34" i="111"/>
  <c r="N34" i="111"/>
  <c r="O34" i="111"/>
  <c r="P34" i="111"/>
  <c r="Q34" i="111"/>
  <c r="R34" i="111"/>
  <c r="S34" i="111"/>
  <c r="T34" i="111"/>
  <c r="U34" i="111"/>
  <c r="V34" i="111"/>
  <c r="W34" i="111"/>
  <c r="X34" i="111"/>
  <c r="Y34" i="111"/>
  <c r="Z34" i="111"/>
  <c r="AA34" i="111"/>
  <c r="AB34" i="111"/>
  <c r="AC34" i="111"/>
  <c r="AD34" i="111"/>
  <c r="AE34" i="111"/>
  <c r="AF34" i="111"/>
  <c r="AG34" i="111"/>
  <c r="AH34" i="111"/>
  <c r="AI34" i="111"/>
  <c r="AJ34" i="111"/>
  <c r="AK34" i="111"/>
  <c r="AL34" i="111"/>
  <c r="AM34" i="111"/>
  <c r="AN34" i="111"/>
  <c r="E34" i="107"/>
  <c r="F34" i="107"/>
  <c r="G34" i="107"/>
  <c r="H34" i="107"/>
  <c r="I34" i="107"/>
  <c r="J34" i="107"/>
  <c r="K34" i="107"/>
  <c r="L34" i="107"/>
  <c r="M34" i="107"/>
  <c r="N34" i="107"/>
  <c r="O34" i="107"/>
  <c r="P34" i="107"/>
  <c r="Q34" i="107"/>
  <c r="R34" i="107"/>
  <c r="S34" i="107"/>
  <c r="T34" i="107"/>
  <c r="U34" i="107"/>
  <c r="V34" i="107"/>
  <c r="F29" i="102" l="1"/>
  <c r="I13" i="110"/>
  <c r="I15" i="110"/>
  <c r="H15" i="110" s="1"/>
  <c r="K13" i="110"/>
  <c r="K15" i="110"/>
  <c r="J15" i="110" s="1"/>
  <c r="J29" i="106"/>
  <c r="L15" i="58" s="1"/>
  <c r="H29" i="106"/>
  <c r="F29" i="106"/>
  <c r="E29" i="106"/>
  <c r="I19" i="103"/>
  <c r="G19" i="103"/>
  <c r="J14" i="110"/>
  <c r="J13" i="110"/>
  <c r="H14" i="110"/>
  <c r="G53" i="102" l="1"/>
  <c r="F10" i="110"/>
  <c r="F15" i="110"/>
  <c r="F11" i="110"/>
  <c r="F13" i="110"/>
  <c r="G11" i="110"/>
  <c r="G10" i="110" l="1"/>
  <c r="F9" i="110" l="1"/>
  <c r="G9" i="110"/>
  <c r="I3" i="91"/>
  <c r="B3" i="110"/>
  <c r="D3" i="64"/>
  <c r="D3" i="106"/>
  <c r="D3" i="105"/>
  <c r="B3" i="104"/>
  <c r="D3" i="103"/>
  <c r="G3" i="102"/>
  <c r="B3" i="109"/>
  <c r="B3" i="93"/>
  <c r="B3" i="69"/>
  <c r="B2" i="68"/>
  <c r="B3" i="67"/>
  <c r="F3" i="66"/>
  <c r="I13" i="66"/>
  <c r="H11" i="58"/>
  <c r="G11" i="58" s="1"/>
  <c r="G19" i="58"/>
  <c r="F19" i="58" s="1"/>
  <c r="E13" i="104"/>
  <c r="F18" i="104"/>
  <c r="F12" i="93"/>
  <c r="F11" i="93"/>
  <c r="F18" i="110" l="1"/>
  <c r="F19" i="110"/>
  <c r="F17" i="110"/>
  <c r="L11" i="58"/>
  <c r="D13" i="93" l="1"/>
  <c r="F10" i="58" l="1"/>
  <c r="I19" i="110" l="1"/>
  <c r="I18" i="110"/>
  <c r="H11" i="104" s="1"/>
  <c r="I17" i="110"/>
  <c r="E9" i="104"/>
  <c r="K13" i="66"/>
  <c r="H10" i="104" l="1"/>
  <c r="H9" i="104"/>
  <c r="F10" i="105"/>
  <c r="F11" i="105" s="1"/>
  <c r="G10" i="105"/>
  <c r="G11" i="105" s="1"/>
  <c r="H10" i="105"/>
  <c r="H11" i="105" s="1"/>
  <c r="I10" i="105"/>
  <c r="I11" i="105" s="1"/>
  <c r="J10" i="105"/>
  <c r="J11" i="105" s="1"/>
  <c r="E10" i="105"/>
  <c r="E11" i="105" s="1"/>
  <c r="E9" i="105" l="1"/>
  <c r="D20" i="69"/>
  <c r="F14" i="103"/>
  <c r="E14" i="103"/>
  <c r="F13" i="103"/>
  <c r="G13" i="103"/>
  <c r="H13" i="103"/>
  <c r="I13" i="103"/>
  <c r="J13" i="103"/>
  <c r="E13" i="103"/>
  <c r="E10" i="103"/>
  <c r="E9" i="103"/>
  <c r="H19" i="58" l="1"/>
  <c r="I13" i="93"/>
  <c r="K12" i="58"/>
  <c r="K14" i="58" l="1"/>
  <c r="K10" i="58"/>
  <c r="K13" i="58"/>
  <c r="G15" i="58" l="1"/>
  <c r="H15" i="58" s="1"/>
  <c r="K15" i="58"/>
  <c r="D25" i="106"/>
  <c r="B10" i="106"/>
  <c r="B11" i="106" s="1"/>
  <c r="B12" i="106" s="1"/>
  <c r="B13" i="106" s="1"/>
  <c r="B14" i="106" s="1"/>
  <c r="B15" i="106" s="1"/>
  <c r="B16" i="106" s="1"/>
  <c r="B17" i="106" s="1"/>
  <c r="B18" i="106" s="1"/>
  <c r="B19" i="106" s="1"/>
  <c r="B20" i="106" s="1"/>
  <c r="B21" i="106" s="1"/>
  <c r="B22" i="106" s="1"/>
  <c r="B23" i="106" s="1"/>
  <c r="B24" i="106" s="1"/>
  <c r="B25" i="106" s="1"/>
  <c r="B26" i="106" s="1"/>
  <c r="B27" i="106" s="1"/>
  <c r="K16" i="58" l="1"/>
  <c r="I17" i="105"/>
  <c r="M11" i="102" l="1"/>
  <c r="J27" i="102" s="1"/>
  <c r="M12" i="102"/>
  <c r="J28" i="102" s="1"/>
  <c r="M15" i="102"/>
  <c r="M16" i="102"/>
  <c r="M17" i="102"/>
  <c r="M18" i="102"/>
  <c r="M19" i="102"/>
  <c r="M20" i="102"/>
  <c r="M10" i="102"/>
  <c r="M14" i="102"/>
  <c r="J26" i="102" l="1"/>
  <c r="M28" i="102"/>
  <c r="J44" i="102" s="1"/>
  <c r="M44" i="102" s="1"/>
  <c r="J32" i="102"/>
  <c r="J34" i="102"/>
  <c r="M34" i="102" s="1"/>
  <c r="J36" i="102"/>
  <c r="M36" i="102" s="1"/>
  <c r="J30" i="102"/>
  <c r="J35" i="102"/>
  <c r="M35" i="102" s="1"/>
  <c r="J33" i="102"/>
  <c r="M27" i="102"/>
  <c r="J43" i="102" s="1"/>
  <c r="J31" i="102"/>
  <c r="N13" i="102"/>
  <c r="N20" i="102"/>
  <c r="I20" i="102"/>
  <c r="N19" i="102"/>
  <c r="I19" i="102"/>
  <c r="N18" i="102"/>
  <c r="I18" i="102"/>
  <c r="N17" i="102"/>
  <c r="I17" i="102"/>
  <c r="N16" i="102"/>
  <c r="I16" i="102"/>
  <c r="N15" i="102"/>
  <c r="I15" i="102"/>
  <c r="N14" i="102"/>
  <c r="N12" i="102"/>
  <c r="I12" i="102"/>
  <c r="F28" i="102" s="1"/>
  <c r="N11" i="102"/>
  <c r="I11" i="102"/>
  <c r="F27" i="102" s="1"/>
  <c r="N10" i="102"/>
  <c r="I10" i="102"/>
  <c r="M26" i="102" l="1"/>
  <c r="J42" i="102" s="1"/>
  <c r="N21" i="102"/>
  <c r="F26" i="102"/>
  <c r="F31" i="102"/>
  <c r="N31" i="102" s="1"/>
  <c r="F32" i="102"/>
  <c r="N32" i="102" s="1"/>
  <c r="F33" i="102"/>
  <c r="N33" i="102" s="1"/>
  <c r="F34" i="102"/>
  <c r="N34" i="102" s="1"/>
  <c r="F35" i="102"/>
  <c r="N35" i="102" s="1"/>
  <c r="F36" i="102"/>
  <c r="N36" i="102" s="1"/>
  <c r="M43" i="102"/>
  <c r="M31" i="102"/>
  <c r="J47" i="102" s="1"/>
  <c r="M47" i="102" s="1"/>
  <c r="M33" i="102"/>
  <c r="J49" i="102" s="1"/>
  <c r="M49" i="102" s="1"/>
  <c r="M30" i="102"/>
  <c r="J46" i="102" s="1"/>
  <c r="M46" i="102" s="1"/>
  <c r="M32" i="102"/>
  <c r="J48" i="102" s="1"/>
  <c r="M48" i="102" s="1"/>
  <c r="O11" i="102"/>
  <c r="N27" i="102"/>
  <c r="O12" i="102"/>
  <c r="N28" i="102"/>
  <c r="O15" i="102"/>
  <c r="O16" i="102"/>
  <c r="O17" i="102"/>
  <c r="O18" i="102"/>
  <c r="O19" i="102"/>
  <c r="O20" i="102"/>
  <c r="J50" i="102"/>
  <c r="M50" i="102" s="1"/>
  <c r="O10" i="102"/>
  <c r="M13" i="102"/>
  <c r="M21" i="102" s="1"/>
  <c r="M42" i="102" l="1"/>
  <c r="J29" i="102"/>
  <c r="J37" i="102" s="1"/>
  <c r="I35" i="102"/>
  <c r="F51" i="102" s="1"/>
  <c r="I33" i="102"/>
  <c r="I32" i="102"/>
  <c r="I31" i="102"/>
  <c r="I29" i="102"/>
  <c r="I28" i="102"/>
  <c r="I27" i="102"/>
  <c r="N26" i="102"/>
  <c r="I26" i="102"/>
  <c r="O13" i="102"/>
  <c r="F42" i="102" l="1"/>
  <c r="N42" i="102" s="1"/>
  <c r="O27" i="102"/>
  <c r="F43" i="102"/>
  <c r="O28" i="102"/>
  <c r="F44" i="102"/>
  <c r="N44" i="102" s="1"/>
  <c r="O31" i="102"/>
  <c r="F47" i="102"/>
  <c r="N47" i="102" s="1"/>
  <c r="O32" i="102"/>
  <c r="F48" i="102"/>
  <c r="N48" i="102" s="1"/>
  <c r="O33" i="102"/>
  <c r="F49" i="102"/>
  <c r="N49" i="102" s="1"/>
  <c r="H10" i="103"/>
  <c r="F45" i="102"/>
  <c r="O35" i="102"/>
  <c r="M29" i="102"/>
  <c r="N29" i="102"/>
  <c r="I51" i="102"/>
  <c r="O26" i="102"/>
  <c r="I34" i="102"/>
  <c r="F50" i="102" s="1"/>
  <c r="I42" i="102" l="1"/>
  <c r="M37" i="102"/>
  <c r="N43" i="102"/>
  <c r="N50" i="102"/>
  <c r="O34" i="102"/>
  <c r="J45" i="102"/>
  <c r="O29" i="102"/>
  <c r="J51" i="102"/>
  <c r="I50" i="102"/>
  <c r="O50" i="102" s="1"/>
  <c r="I49" i="102"/>
  <c r="O49" i="102" s="1"/>
  <c r="I48" i="102"/>
  <c r="O48" i="102" s="1"/>
  <c r="I47" i="102"/>
  <c r="O47" i="102" s="1"/>
  <c r="I45" i="102"/>
  <c r="I44" i="102"/>
  <c r="O44" i="102" s="1"/>
  <c r="I43" i="102"/>
  <c r="O42" i="102" l="1"/>
  <c r="O43" i="102"/>
  <c r="M51" i="102"/>
  <c r="O51" i="102" s="1"/>
  <c r="N51" i="102"/>
  <c r="M45" i="102"/>
  <c r="N45" i="102"/>
  <c r="O45" i="102" l="1"/>
  <c r="E18" i="110"/>
  <c r="E12" i="110"/>
  <c r="K11" i="110"/>
  <c r="K12" i="110"/>
  <c r="H11" i="110"/>
  <c r="H12" i="110"/>
  <c r="J12" i="110" s="1"/>
  <c r="H13" i="110"/>
  <c r="I16" i="110"/>
  <c r="H16" i="110" s="1"/>
  <c r="J16" i="110" s="1"/>
  <c r="E19" i="110" l="1"/>
  <c r="E17" i="110"/>
  <c r="H18" i="110"/>
  <c r="H16" i="104" s="1"/>
  <c r="H19" i="110"/>
  <c r="H17" i="110"/>
  <c r="K19" i="110"/>
  <c r="K18" i="110"/>
  <c r="J11" i="104" s="1"/>
  <c r="K17" i="110"/>
  <c r="K16" i="110"/>
  <c r="J11" i="110"/>
  <c r="E16" i="110"/>
  <c r="F26" i="67"/>
  <c r="F34" i="67" s="1"/>
  <c r="E26" i="67"/>
  <c r="E34" i="67" s="1"/>
  <c r="D26" i="67"/>
  <c r="D34" i="67" s="1"/>
  <c r="K11" i="66" l="1"/>
  <c r="I11" i="66"/>
  <c r="J18" i="110"/>
  <c r="J10" i="104"/>
  <c r="J9" i="104"/>
  <c r="J19" i="110"/>
  <c r="J17" i="110"/>
  <c r="F9" i="104"/>
  <c r="F16" i="110"/>
  <c r="G16" i="110" s="1"/>
  <c r="G12" i="110"/>
  <c r="G13" i="110"/>
  <c r="G15" i="110"/>
  <c r="G11" i="103"/>
  <c r="E15" i="109"/>
  <c r="G18" i="110" l="1"/>
  <c r="E11" i="104" s="1"/>
  <c r="G19" i="110"/>
  <c r="G17" i="110"/>
  <c r="E10" i="104" s="1"/>
  <c r="J16" i="104"/>
  <c r="K18" i="58"/>
  <c r="K20" i="58" s="1"/>
  <c r="K21" i="58" s="1"/>
  <c r="D11" i="105"/>
  <c r="F10" i="104" l="1"/>
  <c r="E16" i="104"/>
  <c r="F11" i="104"/>
  <c r="I17" i="104"/>
  <c r="D15" i="109"/>
  <c r="D13" i="105"/>
  <c r="D11" i="103"/>
  <c r="F16" i="104" l="1"/>
  <c r="D19" i="103"/>
  <c r="F11" i="66" l="1"/>
  <c r="G11" i="66" s="1"/>
  <c r="F36" i="68"/>
  <c r="E36" i="68"/>
  <c r="D36" i="68"/>
  <c r="F13" i="66"/>
  <c r="G13" i="66" s="1"/>
  <c r="G13" i="93"/>
  <c r="F15" i="109"/>
  <c r="F43" i="103"/>
  <c r="F48" i="103" s="1"/>
  <c r="E43" i="103"/>
  <c r="E48" i="103" s="1"/>
  <c r="D43" i="103"/>
  <c r="F33" i="103"/>
  <c r="E33" i="103"/>
  <c r="D33" i="103"/>
  <c r="D38" i="103" s="1"/>
  <c r="D17" i="105"/>
  <c r="J17" i="105"/>
  <c r="H17" i="105"/>
  <c r="G17" i="105"/>
  <c r="F17" i="105"/>
  <c r="E17" i="105"/>
  <c r="G13" i="105"/>
  <c r="I12" i="66" l="1"/>
  <c r="I14" i="66" s="1"/>
  <c r="H12" i="104" s="1"/>
  <c r="K12" i="66"/>
  <c r="K14" i="66" s="1"/>
  <c r="J12" i="104" s="1"/>
  <c r="F12" i="66"/>
  <c r="G12" i="66" s="1"/>
  <c r="G14" i="66" s="1"/>
  <c r="F12" i="104" s="1"/>
  <c r="F10" i="103"/>
  <c r="F9" i="105"/>
  <c r="F19" i="105" s="1"/>
  <c r="D18" i="109"/>
  <c r="D21" i="109" s="1"/>
  <c r="F18" i="109"/>
  <c r="F21" i="109" s="1"/>
  <c r="D19" i="105"/>
  <c r="D20" i="105" s="1"/>
  <c r="E18" i="109"/>
  <c r="E21" i="109" s="1"/>
  <c r="I10" i="58"/>
  <c r="D64" i="103"/>
  <c r="F12" i="58"/>
  <c r="I12" i="58"/>
  <c r="G19" i="105"/>
  <c r="F14" i="66" l="1"/>
  <c r="E12" i="104" s="1"/>
  <c r="E19" i="105"/>
  <c r="I36" i="102"/>
  <c r="F52" i="102" s="1"/>
  <c r="F9" i="103"/>
  <c r="F11" i="103" s="1"/>
  <c r="E11" i="103"/>
  <c r="F13" i="93"/>
  <c r="H9" i="103"/>
  <c r="J10" i="58"/>
  <c r="H10" i="58"/>
  <c r="D48" i="103"/>
  <c r="F18" i="103"/>
  <c r="E13" i="93"/>
  <c r="H10" i="93" s="1"/>
  <c r="H13" i="93" s="1"/>
  <c r="J10" i="93" s="1"/>
  <c r="J13" i="93" s="1"/>
  <c r="E13" i="105"/>
  <c r="H9" i="105" s="1"/>
  <c r="F13" i="105"/>
  <c r="F20" i="105" s="1"/>
  <c r="F21" i="105" s="1"/>
  <c r="H14" i="58" s="1"/>
  <c r="L10" i="58"/>
  <c r="G20" i="105"/>
  <c r="I14" i="58" s="1"/>
  <c r="F14" i="58"/>
  <c r="G10" i="58" l="1"/>
  <c r="O36" i="102"/>
  <c r="I52" i="102"/>
  <c r="I14" i="102"/>
  <c r="I21" i="102" s="1"/>
  <c r="E20" i="105"/>
  <c r="E21" i="105" s="1"/>
  <c r="G14" i="58" s="1"/>
  <c r="J9" i="103"/>
  <c r="H11" i="103"/>
  <c r="H19" i="105"/>
  <c r="H13" i="105"/>
  <c r="F30" i="102" l="1"/>
  <c r="O14" i="102"/>
  <c r="J52" i="102"/>
  <c r="J9" i="105"/>
  <c r="H20" i="105"/>
  <c r="E21" i="102"/>
  <c r="J53" i="102" l="1"/>
  <c r="F37" i="102"/>
  <c r="H13" i="104" s="1"/>
  <c r="O21" i="102"/>
  <c r="M52" i="102"/>
  <c r="N52" i="102"/>
  <c r="N30" i="102"/>
  <c r="F13" i="104"/>
  <c r="H14" i="103"/>
  <c r="H16" i="103" s="1"/>
  <c r="I30" i="102"/>
  <c r="I37" i="102" s="1"/>
  <c r="H21" i="105"/>
  <c r="J14" i="58" s="1"/>
  <c r="E15" i="103"/>
  <c r="E17" i="103" s="1"/>
  <c r="E16" i="103"/>
  <c r="F16" i="103"/>
  <c r="F15" i="103"/>
  <c r="F17" i="103" s="1"/>
  <c r="J19" i="105"/>
  <c r="J13" i="105"/>
  <c r="J15" i="58"/>
  <c r="I15" i="58"/>
  <c r="F15" i="58"/>
  <c r="L18" i="58"/>
  <c r="L20" i="58" s="1"/>
  <c r="J18" i="58"/>
  <c r="J20" i="58" s="1"/>
  <c r="I18" i="58"/>
  <c r="I20" i="58" s="1"/>
  <c r="H18" i="58"/>
  <c r="H20" i="58" s="1"/>
  <c r="F18" i="58"/>
  <c r="M53" i="102" l="1"/>
  <c r="E20" i="69"/>
  <c r="N37" i="102"/>
  <c r="F46" i="102"/>
  <c r="F19" i="103"/>
  <c r="F21" i="103" s="1"/>
  <c r="H12" i="58" s="1"/>
  <c r="E19" i="103"/>
  <c r="E21" i="103" s="1"/>
  <c r="G12" i="58" s="1"/>
  <c r="O30" i="102"/>
  <c r="O52" i="102"/>
  <c r="H15" i="103"/>
  <c r="H17" i="103" s="1"/>
  <c r="H19" i="103" s="1"/>
  <c r="H21" i="103" s="1"/>
  <c r="J12" i="58" s="1"/>
  <c r="J10" i="103"/>
  <c r="J11" i="103" s="1"/>
  <c r="J20" i="105"/>
  <c r="J21" i="105" s="1"/>
  <c r="L14" i="58" s="1"/>
  <c r="G18" i="58"/>
  <c r="G20" i="58" s="1"/>
  <c r="F20" i="58"/>
  <c r="F53" i="102" l="1"/>
  <c r="F20" i="69" s="1"/>
  <c r="O37" i="102"/>
  <c r="N46" i="102"/>
  <c r="I46" i="102"/>
  <c r="E37" i="102"/>
  <c r="J13" i="104" l="1"/>
  <c r="I53" i="102"/>
  <c r="E53" i="102" s="1"/>
  <c r="N53" i="102"/>
  <c r="O46" i="102"/>
  <c r="J14" i="103"/>
  <c r="J15" i="103" s="1"/>
  <c r="J17" i="103" s="1"/>
  <c r="B19" i="58"/>
  <c r="B20" i="58" s="1"/>
  <c r="O53" i="102" l="1"/>
  <c r="J16" i="103"/>
  <c r="J19" i="103"/>
  <c r="J21" i="103" s="1"/>
  <c r="L12" i="58" s="1"/>
  <c r="B10" i="105" l="1"/>
  <c r="B11" i="105" s="1"/>
  <c r="B12" i="105" s="1"/>
  <c r="B13" i="105" s="1"/>
  <c r="B15" i="105" s="1"/>
  <c r="B16" i="105" s="1"/>
  <c r="B17" i="105" s="1"/>
  <c r="B19" i="105" s="1"/>
  <c r="B10" i="104"/>
  <c r="B11" i="104" s="1"/>
  <c r="B12" i="104" s="1"/>
  <c r="B13" i="104" s="1"/>
  <c r="B14" i="104" s="1"/>
  <c r="B16" i="104" s="1"/>
  <c r="B17" i="104" s="1"/>
  <c r="B18" i="104" s="1"/>
  <c r="B19" i="104" s="1"/>
  <c r="B10" i="103"/>
  <c r="B11" i="103" s="1"/>
  <c r="B12" i="103" s="1"/>
  <c r="B13" i="103" s="1"/>
  <c r="B14" i="103" s="1"/>
  <c r="B15" i="103" s="1"/>
  <c r="B16" i="103" s="1"/>
  <c r="B17" i="103" s="1"/>
  <c r="B18" i="103" s="1"/>
  <c r="B19" i="103" s="1"/>
  <c r="B20" i="103" s="1"/>
  <c r="B21" i="103" s="1"/>
  <c r="B20" i="105" l="1"/>
  <c r="B21" i="105" s="1"/>
  <c r="B11" i="58"/>
  <c r="B12" i="58" s="1"/>
  <c r="B13" i="58" s="1"/>
  <c r="B14" i="58" s="1"/>
  <c r="B15" i="58" s="1"/>
  <c r="B16" i="58" s="1"/>
  <c r="B8" i="91" l="1"/>
  <c r="B9" i="91" s="1"/>
  <c r="B10" i="91" s="1"/>
  <c r="B11" i="91" s="1"/>
  <c r="B12" i="91" s="1"/>
  <c r="B13" i="91" s="1"/>
  <c r="B14" i="91" s="1"/>
  <c r="B15" i="91" s="1"/>
  <c r="B16" i="91" s="1"/>
  <c r="B17" i="91" s="1"/>
  <c r="B18" i="91" s="1"/>
  <c r="B19" i="91" s="1"/>
  <c r="B20" i="91" s="1"/>
  <c r="B21" i="91" s="1"/>
  <c r="B22" i="91" s="1"/>
  <c r="B23" i="91" s="1"/>
  <c r="B24" i="91" s="1"/>
  <c r="B25" i="91" s="1"/>
  <c r="B30" i="91" s="1"/>
  <c r="B31" i="91" s="1"/>
  <c r="B7" i="57" l="1"/>
  <c r="B8" i="57" s="1"/>
  <c r="B9" i="57" s="1"/>
  <c r="B10" i="57" s="1"/>
  <c r="B11" i="57" l="1"/>
  <c r="B12" i="57" s="1"/>
  <c r="B13" i="57" s="1"/>
  <c r="B12" i="66"/>
  <c r="B13" i="66" s="1"/>
  <c r="B14" i="66" s="1"/>
  <c r="B28" i="67"/>
  <c r="B29" i="67" s="1"/>
  <c r="B30" i="67" s="1"/>
  <c r="B31" i="67" s="1"/>
  <c r="B14" i="57" l="1"/>
  <c r="B15" i="57" s="1"/>
  <c r="B16" i="57" s="1"/>
  <c r="B17" i="57" s="1"/>
  <c r="B18" i="57" s="1"/>
  <c r="B19" i="57" s="1"/>
  <c r="B20" i="57" s="1"/>
  <c r="B21" i="57" l="1"/>
  <c r="B22" i="57" s="1"/>
  <c r="B23" i="57" s="1"/>
  <c r="B24" i="57" s="1"/>
  <c r="B25" i="57" s="1"/>
  <c r="B26" i="57" s="1"/>
  <c r="F13" i="58"/>
  <c r="I13" i="58"/>
  <c r="I16" i="58" s="1"/>
  <c r="I21" i="58" s="1"/>
  <c r="G17" i="104" s="1"/>
  <c r="F16" i="58" l="1"/>
  <c r="F21" i="58" s="1"/>
  <c r="D17" i="104" s="1"/>
  <c r="E38" i="103" l="1"/>
  <c r="F38" i="103"/>
  <c r="G13" i="58" l="1"/>
  <c r="H13" i="58"/>
  <c r="J13" i="58"/>
  <c r="L13" i="58"/>
  <c r="G16" i="58"/>
  <c r="H16" i="58"/>
  <c r="J16" i="58"/>
  <c r="L16" i="58"/>
  <c r="G21" i="58"/>
  <c r="H21" i="58"/>
  <c r="J21" i="58"/>
  <c r="L21" i="58"/>
  <c r="E14" i="104"/>
  <c r="F14" i="104"/>
  <c r="H14" i="104"/>
  <c r="J14" i="104"/>
  <c r="E17" i="104"/>
  <c r="F17" i="104"/>
  <c r="H17" i="104"/>
  <c r="J17" i="104"/>
  <c r="E19" i="104"/>
  <c r="F19" i="104"/>
  <c r="H19" i="104"/>
  <c r="J19" i="104"/>
</calcChain>
</file>

<file path=xl/sharedStrings.xml><?xml version="1.0" encoding="utf-8"?>
<sst xmlns="http://schemas.openxmlformats.org/spreadsheetml/2006/main" count="1203" uniqueCount="530">
  <si>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</si>
  <si>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</si>
  <si>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</si>
  <si>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</si>
  <si>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</si>
  <si>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</si>
  <si>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</si>
  <si>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</si>
  <si>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</si>
  <si>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</si>
  <si>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</si>
  <si>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</si>
  <si>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</si>
  <si>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</si>
  <si>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</si>
  <si>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</si>
  <si>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</si>
  <si>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</si>
  <si>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</si>
  <si>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</si>
  <si>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</si>
  <si>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</si>
  <si>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</si>
  <si>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</si>
  <si>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</si>
  <si>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</si>
  <si>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</si>
  <si>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</si>
  <si>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</si>
  <si>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</si>
  <si>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</si>
  <si>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</si>
  <si>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</si>
  <si>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</si>
  <si>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</si>
  <si>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</si>
  <si>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</si>
  <si>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</si>
  <si>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</si>
  <si>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</si>
  <si>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</si>
  <si>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</si>
  <si>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</si>
  <si>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</si>
  <si>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</si>
  <si>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</si>
  <si>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</si>
  <si>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</si>
  <si>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</si>
  <si>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</si>
  <si>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</si>
  <si>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</si>
  <si>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</si>
  <si>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Transit Loss</t>
  </si>
  <si>
    <t xml:space="preserve">Note: </t>
  </si>
  <si>
    <t>Total Working Capital requirement</t>
  </si>
  <si>
    <t>Gross Generation</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</si>
  <si>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</si>
  <si>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</si>
  <si>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</si>
  <si>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</si>
  <si>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</si>
  <si>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</si>
  <si>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</si>
  <si>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</si>
  <si>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</si>
  <si>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</si>
  <si>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</si>
  <si>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</si>
  <si>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</si>
  <si>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</si>
  <si>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</si>
  <si>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</si>
  <si>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</si>
  <si>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</si>
  <si>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</si>
  <si>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</si>
  <si>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</si>
  <si>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</si>
  <si>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</si>
  <si>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</si>
  <si>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</si>
  <si>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</si>
  <si>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</si>
  <si>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</si>
  <si>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</si>
  <si>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</si>
  <si>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</si>
  <si>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</si>
  <si>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</si>
  <si>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</si>
  <si>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</si>
  <si>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</si>
  <si>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</si>
  <si>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</si>
  <si>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</si>
  <si>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</si>
  <si>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</si>
  <si>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</si>
  <si>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</si>
  <si>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</si>
  <si>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</si>
  <si>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</si>
  <si>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</si>
  <si>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</si>
  <si>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</si>
  <si>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</si>
  <si>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</si>
  <si>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</si>
  <si>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</si>
  <si>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</si>
  <si>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</si>
  <si>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</si>
  <si>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</si>
  <si>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</si>
  <si>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</si>
  <si>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</si>
  <si>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</si>
  <si>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</si>
  <si>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</si>
  <si>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</si>
  <si>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</si>
  <si>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</si>
  <si>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</si>
  <si>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</si>
  <si>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</si>
  <si>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</si>
  <si>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</si>
  <si>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</si>
  <si>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</si>
  <si>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</si>
  <si>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</si>
  <si>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</si>
  <si>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</si>
  <si>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</si>
  <si>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</si>
  <si>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</si>
  <si>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</si>
  <si>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</si>
  <si>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</si>
  <si>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</si>
  <si>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</si>
  <si>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</si>
  <si>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</si>
  <si>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</si>
  <si>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</si>
  <si>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</si>
  <si>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</si>
  <si>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</si>
  <si>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</si>
  <si>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</si>
  <si>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</si>
  <si>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</si>
  <si>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</si>
  <si>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</si>
  <si>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</si>
  <si>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</si>
  <si>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</si>
  <si>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</si>
  <si>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</si>
  <si>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</si>
  <si>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</si>
  <si>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</si>
  <si>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</si>
  <si>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</si>
  <si>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Unit 1 / Station 1</t>
  </si>
  <si>
    <t>Unit 2 / Station 2</t>
  </si>
  <si>
    <t xml:space="preserve">Depreciation </t>
  </si>
  <si>
    <t>Addition of Loan during the year</t>
  </si>
  <si>
    <t>Form 13</t>
  </si>
  <si>
    <t>Total Revenue</t>
  </si>
  <si>
    <t>Auxiliary Consumption</t>
  </si>
  <si>
    <t>Normative Availability (%)</t>
  </si>
  <si>
    <t>Availability</t>
  </si>
  <si>
    <t>Plant Load Factor (PLF)</t>
  </si>
  <si>
    <t>Secondary Fuel Oil Consumption</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</si>
  <si>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</si>
  <si>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</si>
  <si>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</si>
  <si>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</si>
  <si>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</si>
  <si>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</si>
  <si>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</si>
  <si>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</si>
  <si>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</si>
  <si>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</si>
  <si>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Justification</t>
  </si>
  <si>
    <t>Financing Details</t>
  </si>
  <si>
    <t>Internal Resources</t>
  </si>
  <si>
    <t>Total Cost</t>
  </si>
  <si>
    <t>Financing of Additional Capitalisation</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</si>
  <si>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</si>
  <si>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</si>
  <si>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</si>
  <si>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</si>
  <si>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</si>
  <si>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</si>
  <si>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</si>
  <si>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</si>
  <si>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</si>
  <si>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</si>
  <si>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</si>
  <si>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</si>
  <si>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</si>
  <si>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</si>
  <si>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</si>
  <si>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</si>
  <si>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Gross Station Heat Rate</t>
  </si>
  <si>
    <t>True-Up requirement</t>
  </si>
  <si>
    <t>Legend</t>
  </si>
  <si>
    <t xml:space="preserve">Details of outages should be submitted for each Unit of each station separately </t>
  </si>
  <si>
    <t>R &amp; M Expenses</t>
  </si>
  <si>
    <t>Installed Capacity</t>
  </si>
  <si>
    <t>Weighted average Rate of Interest on actual Loans (%)</t>
  </si>
  <si>
    <t>Average Balance of Net Normative Loan</t>
  </si>
  <si>
    <t>Average Loan Balance</t>
  </si>
  <si>
    <t>Net Generation (MU)</t>
  </si>
  <si>
    <t>Generation above target PLF (MU)</t>
  </si>
  <si>
    <t>Approved Fixed Charges</t>
  </si>
  <si>
    <t>Amount of Fuel Surcharge Adjustment</t>
  </si>
  <si>
    <t>Summary of Capital Expenditure and Capitalisation</t>
  </si>
  <si>
    <t>Type of Thermal Generating Station (Pithead/Non-Pithead)</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</si>
  <si>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</si>
  <si>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</si>
  <si>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</si>
  <si>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</si>
  <si>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</si>
  <si>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</si>
  <si>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</si>
  <si>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n+1</t>
  </si>
  <si>
    <t xml:space="preserve">April-March     </t>
  </si>
  <si>
    <t>Claimed</t>
  </si>
  <si>
    <t>April - March</t>
  </si>
  <si>
    <t>Interest and finance charges on loan</t>
  </si>
  <si>
    <t>Return on Equity</t>
  </si>
  <si>
    <t>Annual Fixed Charges</t>
  </si>
  <si>
    <t>Energy Charges</t>
  </si>
  <si>
    <t>Energy Charge Rate</t>
  </si>
  <si>
    <t>Scheduled Energy (ex-bus)</t>
  </si>
  <si>
    <t>Apr - Mar</t>
  </si>
  <si>
    <t>Apr-Mar</t>
  </si>
  <si>
    <t>A&amp;G Expenses</t>
  </si>
  <si>
    <t>Note:</t>
  </si>
  <si>
    <t>The projections for the Control Period to be supported by detailed computations</t>
  </si>
  <si>
    <t>Opening Capital Works in Progress</t>
  </si>
  <si>
    <t>Closing Capital Works in Progress</t>
  </si>
  <si>
    <t>FY</t>
  </si>
  <si>
    <t>Name of the work</t>
  </si>
  <si>
    <t>Scope of work</t>
  </si>
  <si>
    <t>Total estimated cost* (Rs. Crore)</t>
  </si>
  <si>
    <t>*</t>
  </si>
  <si>
    <t>Total estimated cost to be supported by documentary evidences like work orders, investment approvals etc.</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</si>
  <si>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</si>
  <si>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</si>
  <si>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</si>
  <si>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</si>
  <si>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</si>
  <si>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</si>
  <si>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</si>
  <si>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</si>
  <si>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</si>
  <si>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</si>
  <si>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</si>
  <si>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</si>
  <si>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</si>
  <si>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 xml:space="preserve">Asset Group                                                                                                                                                </t>
  </si>
  <si>
    <t>Form 2</t>
  </si>
  <si>
    <t>Form 2.3</t>
  </si>
  <si>
    <t>Form 2.1: Employee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</si>
  <si>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</si>
  <si>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</si>
  <si>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</si>
  <si>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</si>
  <si>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</si>
  <si>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</si>
  <si>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</si>
  <si>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</si>
  <si>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</si>
  <si>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</si>
  <si>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</si>
  <si>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</si>
  <si>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</si>
  <si>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</si>
  <si>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</si>
  <si>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</si>
  <si>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</si>
  <si>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</si>
  <si>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</si>
  <si>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</si>
  <si>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</si>
  <si>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</si>
  <si>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</si>
  <si>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</si>
  <si>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</si>
  <si>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</si>
  <si>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</si>
  <si>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</si>
  <si>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</si>
  <si>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</si>
  <si>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</si>
  <si>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</si>
  <si>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</si>
  <si>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</si>
  <si>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</si>
  <si>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</si>
  <si>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</si>
  <si>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</si>
  <si>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</si>
  <si>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</si>
  <si>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</si>
  <si>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</si>
  <si>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</si>
  <si>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</si>
  <si>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</si>
  <si>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</si>
  <si>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</si>
  <si>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</si>
  <si>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</si>
  <si>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</si>
  <si>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</si>
  <si>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</si>
  <si>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</si>
  <si>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</si>
  <si>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</si>
  <si>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</si>
  <si>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</si>
  <si>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</si>
  <si>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</si>
  <si>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</si>
  <si>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</si>
  <si>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</si>
  <si>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</si>
  <si>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</si>
  <si>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</si>
  <si>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</si>
  <si>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</si>
  <si>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</si>
  <si>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</si>
  <si>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</si>
  <si>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</si>
  <si>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</si>
  <si>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</si>
  <si>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</si>
  <si>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</si>
  <si>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</si>
  <si>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</si>
  <si>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</si>
  <si>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</si>
  <si>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</si>
  <si>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</si>
  <si>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</si>
  <si>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</si>
  <si>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</si>
  <si>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</si>
  <si>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</si>
  <si>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</si>
  <si>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</si>
  <si>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</si>
  <si>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</si>
  <si>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</si>
  <si>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</si>
  <si>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</si>
  <si>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</si>
  <si>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</si>
  <si>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</si>
  <si>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</si>
  <si>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</si>
  <si>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</si>
  <si>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</si>
  <si>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</si>
  <si>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</si>
  <si>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</si>
  <si>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</si>
  <si>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</si>
  <si>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</si>
  <si>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</si>
  <si>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</si>
  <si>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</si>
  <si>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</si>
  <si>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</si>
  <si>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</si>
  <si>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</si>
  <si>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</si>
  <si>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</si>
  <si>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</si>
  <si>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</si>
  <si>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</si>
  <si>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</si>
  <si>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</si>
  <si>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</si>
  <si>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</si>
  <si>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</si>
  <si>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</si>
  <si>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Unfunded past liabilities of pension &amp; gratuity</t>
  </si>
  <si>
    <t>AFC +Energy Charges</t>
  </si>
  <si>
    <t>MYT/ Tariff Order</t>
  </si>
  <si>
    <t>Adjustment in coal quantity supplied by the coal company (-/+)</t>
  </si>
  <si>
    <r>
      <t>Receivables</t>
    </r>
    <r>
      <rPr>
        <sz val="10"/>
        <rFont val="Arial"/>
        <family val="2"/>
      </rPr>
      <t>1</t>
    </r>
  </si>
  <si>
    <r>
      <t>Payables for Fuels</t>
    </r>
    <r>
      <rPr>
        <sz val="10"/>
        <rFont val="Arial"/>
        <family val="2"/>
      </rPr>
      <t>2</t>
    </r>
  </si>
  <si>
    <t>1 In case actual availability is less or more than normative value, the modification in the formula need to be done accordingly.</t>
  </si>
  <si>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</si>
  <si>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</si>
  <si>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</si>
  <si>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</si>
  <si>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2024-25</t>
  </si>
  <si>
    <t>FY 2025-26</t>
  </si>
  <si>
    <t>Form 2.2: Administrative &amp; General Expenses</t>
  </si>
  <si>
    <t>Form 1: Summary Sheet</t>
  </si>
  <si>
    <t>Coal Rate</t>
  </si>
  <si>
    <t>Oil Rate</t>
  </si>
  <si>
    <t>COMPUTERS</t>
  </si>
  <si>
    <t xml:space="preserve">CURRENT CONSUMPTION CHARGES                       </t>
  </si>
  <si>
    <t xml:space="preserve">INCOME FROM SALE OF ASH                           </t>
  </si>
  <si>
    <t xml:space="preserve">INCOME FROM SALE OF COAL REJECTS                  </t>
  </si>
  <si>
    <t xml:space="preserve">INCOME FROM SALE OF SCRAP                         </t>
  </si>
  <si>
    <t xml:space="preserve">INTEREST INCOME ON EMPLOYEES - Ind AS             </t>
  </si>
  <si>
    <t xml:space="preserve">INTEREST INCOME ON SD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</si>
  <si>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</si>
  <si>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</si>
  <si>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</si>
  <si>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</si>
  <si>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</si>
  <si>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</si>
  <si>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</si>
  <si>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RECEIPTS  FROM CONTRACTORS                  </t>
  </si>
  <si>
    <t xml:space="preserve">OTHER RECEIPTS FROM STAFF                         </t>
  </si>
  <si>
    <t xml:space="preserve">OTHER RENTAL OR LETTING OUT                       </t>
  </si>
  <si>
    <t xml:space="preserve">PENALITIES RECOVERED FROM CONTRACTORS             </t>
  </si>
  <si>
    <t xml:space="preserve">RENTAL FROM RES. QUARTERS FROM UN REG PERSONS     </t>
  </si>
  <si>
    <t xml:space="preserve">RENTAL FROM STAFF FOR RESIDENTIAL QUARTERS        </t>
  </si>
  <si>
    <t>Telangana State Power Generation Corporation Limited</t>
  </si>
  <si>
    <t>Opening quantity of oil</t>
  </si>
  <si>
    <t>KL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</si>
  <si>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</si>
  <si>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</si>
  <si>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</si>
  <si>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</si>
  <si>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</si>
  <si>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</si>
  <si>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</si>
  <si>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</si>
  <si>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</si>
  <si>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</si>
  <si>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</si>
  <si>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</si>
  <si>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</si>
  <si>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</si>
  <si>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</si>
  <si>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</si>
  <si>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</si>
  <si>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</si>
  <si>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</si>
  <si>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</si>
  <si>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</si>
  <si>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</si>
  <si>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</si>
  <si>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</si>
  <si>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t>
  </si>
  <si>
    <t>Fuel (savings)/charge year end adjustment</t>
  </si>
  <si>
    <t>Fixed charges disallowed as per TGSLDC Availability</t>
  </si>
  <si>
    <t>Fixed charges reduced prorata to actual capitalisation in case of BTPS</t>
  </si>
  <si>
    <t>TGSPDCL (70.55%)</t>
  </si>
  <si>
    <t>TGNPDCL (29.45%)</t>
  </si>
  <si>
    <t>Revised Proposal</t>
  </si>
  <si>
    <t>(enclosed as Annexure)</t>
  </si>
  <si>
    <t>True-Up requirement (normative)</t>
  </si>
  <si>
    <t>True-Up requirement (Normative)</t>
  </si>
  <si>
    <t>FY 2026-27</t>
  </si>
  <si>
    <t>BTPS</t>
  </si>
  <si>
    <t>LAND DEPOSITS</t>
  </si>
  <si>
    <t>BUILDINGS</t>
  </si>
  <si>
    <t>LINES AND CABLE NETWORK</t>
  </si>
  <si>
    <t>PLANT AND EQUIPMENT</t>
  </si>
  <si>
    <t>CAPITAL SPARES</t>
  </si>
  <si>
    <t>HYDRAULIC WORKS</t>
  </si>
  <si>
    <t>OTHER CIVIL WORKS</t>
  </si>
  <si>
    <t>VEHICLES</t>
  </si>
  <si>
    <t>FURNITURE &amp; FIXTURES</t>
  </si>
  <si>
    <t>OFFICE EQUIPMENTS</t>
  </si>
  <si>
    <t>TGYTG</t>
  </si>
  <si>
    <t>HFO</t>
  </si>
  <si>
    <t>LDO</t>
  </si>
  <si>
    <t xml:space="preserve">Oil Consumption </t>
  </si>
  <si>
    <t>Oil Consumption value</t>
  </si>
  <si>
    <t>Oil Consumption rate</t>
  </si>
  <si>
    <t xml:space="preserve">Projected </t>
  </si>
  <si>
    <t>4X270</t>
  </si>
  <si>
    <t>05.06.2020 07.12.2020  27.03.2021  09.01.2022</t>
  </si>
  <si>
    <t>Non-Pit Head</t>
  </si>
  <si>
    <t>Loan 1-Main Plant -PFC</t>
  </si>
  <si>
    <t>Loan 2-PFC for FGD(Limited to SCR &amp; Additional ESP modifications)</t>
  </si>
  <si>
    <t>Loan 3-PFC for FGD</t>
  </si>
  <si>
    <t xml:space="preserve">      &lt;BTPS&gt;</t>
  </si>
  <si>
    <t>Form 11.1: Fuel Details for computation of Energy Charge Rate</t>
  </si>
  <si>
    <t>FY 20225-26</t>
  </si>
  <si>
    <t>Name of the package           (BTG, BoP, Civil Works etc.)</t>
  </si>
  <si>
    <t>Capital expenditure during the year     (Rs. Crore)</t>
  </si>
  <si>
    <t>Asset group under which the capitalisation has been accounted                          (Land, Buldings, etc.)</t>
  </si>
  <si>
    <t>2024-25</t>
  </si>
  <si>
    <t>Civil</t>
  </si>
  <si>
    <t>Land depostis for acquisition of land at BTPS</t>
  </si>
  <si>
    <t>Civil- buidlings</t>
  </si>
  <si>
    <t>Power house buidling, A type, B Type Residential Quarters and Project Hostel</t>
  </si>
  <si>
    <t>Plant and Machinery</t>
  </si>
  <si>
    <t>I&amp;C, Boiler, Turrbine, generator CWIP</t>
  </si>
  <si>
    <t>BOP</t>
  </si>
  <si>
    <t>CW Pump House  Stage-II</t>
  </si>
  <si>
    <t>Other civil works</t>
  </si>
  <si>
    <t>Furniture and Fixtures</t>
  </si>
  <si>
    <t>Lorry, 11T/12T, 1917R 4x2 5100 BHARAT BENZ</t>
  </si>
  <si>
    <t>Photo copier , Cpu Microprocessor 32 bit embedded</t>
  </si>
  <si>
    <t>Surveillance system with 40 Nos. CC cameras</t>
  </si>
  <si>
    <t>Surveilance system</t>
  </si>
  <si>
    <t>Biometric device and Face detecting systems</t>
  </si>
  <si>
    <t>Office &amp; Canteen Equipment</t>
  </si>
  <si>
    <t>2025-26</t>
  </si>
  <si>
    <t>Balance Non-EPC works of BTPS</t>
  </si>
  <si>
    <t>Township &amp; Landscapping, Colony STP etc</t>
  </si>
  <si>
    <t>22.1 (additional capitalisation)</t>
  </si>
  <si>
    <t>Original Scope</t>
  </si>
  <si>
    <t>Non EPC(E&amp;M works) and Non EPC Civil works</t>
  </si>
  <si>
    <r>
      <t xml:space="preserve">New conveying system for diversion of raw coal from the exsisting crusher house to stock the raw coal near chain conveyors area and construction of </t>
    </r>
    <r>
      <rPr>
        <b/>
        <sz val="12"/>
        <rFont val="Arial"/>
        <family val="2"/>
      </rPr>
      <t>space frame structure raw coal storage shed at BTPS(4X270MW) Project.</t>
    </r>
  </si>
  <si>
    <t>CHP</t>
  </si>
  <si>
    <t>Design, engineering, manufacture, supply, assembly, testing at manufacturers works, inspection, packing for inland freight, forwarding, transit insurance, delivery FOR site, erection, supervision, testing and commissioning of new conveying system for diversion of raw coal including modification works in the existing crusher house and construction of new raw coal storage shed with all accessories, Mandatory Spares, Tools &amp; Tackles including all mechanical, electrical, C&amp;I, civil, structural works, dust suppression, dust extraction and fire fighting system at BTPS(4X270MW) project”.</t>
  </si>
  <si>
    <t>Clause no.22.3 of TGERC Regulation 2 of 2023</t>
  </si>
  <si>
    <t>It is very essential to have raw coal storage shed as the rainfall in Manuguru mandal consistinly exceeding the normal level resulted to receipt of higher wet coal, consequently Generation loss and opertational issues impacting the performance of the units. Hence, construction of Raw coal storage shed is essential.</t>
  </si>
  <si>
    <t>BTG</t>
  </si>
  <si>
    <t>Procurement of Generation Transformer (320MVA, 16.5/420KV) at BTPS Stage-I</t>
  </si>
  <si>
    <r>
      <rPr>
        <b/>
        <sz val="12"/>
        <rFont val="Arial"/>
        <family val="2"/>
      </rPr>
      <t>i).</t>
    </r>
    <r>
      <rPr>
        <sz val="12"/>
        <rFont val="Arial"/>
        <family val="2"/>
      </rPr>
      <t xml:space="preserve"> 04 numbers Generator Transformers of BHEL make are available at BTPS, out of which, 03 numbers are in service and GT-1 got damaged in a fire accident. LOI was issued for repair of damaged GT-1.                                                                                    </t>
    </r>
    <r>
      <rPr>
        <b/>
        <sz val="12"/>
        <rFont val="Arial"/>
        <family val="2"/>
      </rPr>
      <t xml:space="preserve"> ii).</t>
    </r>
    <r>
      <rPr>
        <sz val="12"/>
        <rFont val="Arial"/>
        <family val="2"/>
      </rPr>
      <t xml:space="preserve"> High level committee in its report observed that there is presence of gases viz. Methane and Acetylene in other transformers also. Generator Transformer is a critical equipement and its failure leads to Generation Loss.      </t>
    </r>
    <r>
      <rPr>
        <b/>
        <sz val="12"/>
        <rFont val="Arial"/>
        <family val="2"/>
      </rPr>
      <t xml:space="preserve">                                             iii).</t>
    </r>
    <r>
      <rPr>
        <sz val="12"/>
        <rFont val="Arial"/>
        <family val="2"/>
      </rPr>
      <t xml:space="preserve"> In addition to the above, Non-avaialbility of spare Generator Trasnformer affects the unit availability as the lead period for manufacture 7 supply of Generator transformer is 8 months as per the budgetory offer of OEM i.e., M/s. BHEL.</t>
    </r>
    <r>
      <rPr>
        <b/>
        <sz val="12"/>
        <rFont val="Arial"/>
        <family val="2"/>
      </rPr>
      <t xml:space="preserve">                          iv).</t>
    </r>
    <r>
      <rPr>
        <sz val="12"/>
        <rFont val="Arial"/>
        <family val="2"/>
      </rPr>
      <t xml:space="preserve"> Hence, it is desirable to have 1 no. Generator Transformer which is interchangeable for all GTs as spare.</t>
    </r>
    <r>
      <rPr>
        <b/>
        <sz val="12"/>
        <rFont val="Arial"/>
        <family val="2"/>
      </rPr>
      <t xml:space="preserve">                                                     v).</t>
    </r>
    <r>
      <rPr>
        <sz val="12"/>
        <rFont val="Arial"/>
        <family val="2"/>
      </rPr>
      <t xml:space="preserve"> Further, Committee constituted vide TGOO No.60, Dt.14.08.2024 has opined to procure a new Generator Transformer also as a spare to avoid Generation loss in the event of any eventuality in four units of BTPS</t>
    </r>
  </si>
  <si>
    <t>2026-27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</si>
</sst>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_);[Red]\(&quot;$&quot;#,##0.00\)"/>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0.0000000"/>
    <numFmt numFmtId="169" formatCode="0.0"/>
    <numFmt numFmtId="170" formatCode="0.000"/>
    <numFmt numFmtId="171" formatCode="0.00000000000"/>
    <numFmt numFmtId="172" formatCode="dd\.mm\.yyyy"/>
    <numFmt numFmtId="173" formatCode="_ * #,##0.000_ ;_ * \-#,##0.000_ ;_ * &quot;-&quot;???_ ;_ @_ "/>
    <numFmt numFmtId="174" formatCode="_(* #,##0.000_);_(* \(#,##0.000\);_(* &quot;-&quot;??_);_(@_)"/>
    <numFmt numFmtId="175" formatCode="_ &quot;రూ&quot;\ * #,##0.00_ ;_ &quot;రూ&quot;\ * \-#,##0.00_ ;_ &quot;రూ&quot;\ * &quot;-&quot;??_ ;_ @_ "/>
    <numFmt numFmtId="176" formatCode="0.0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sz val="13"/>
      <name val="Arial"/>
      <family val="2"/>
    </font>
    <font>
      <b/>
      <sz val="11"/>
      <color indexed="8"/>
      <name val="Arial"/>
      <family val="2"/>
    </font>
    <font>
      <b/>
      <sz val="10"/>
      <name val="Arial"/>
      <family val="2"/>
    </font>
    <font>
      <sz val="13"/>
      <name val="Calibri"/>
      <family val="2"/>
      <scheme val="minor"/>
    </font>
    <font>
      <b/>
      <sz val="13"/>
      <name val="Calibri"/>
      <family val="2"/>
      <scheme val="minor"/>
    </font>
    <font>
      <b/>
      <sz val="13"/>
      <name val="Arial"/>
      <family val="2"/>
    </font>
    <font>
      <sz val="12"/>
      <color theme="1"/>
      <name val="Calibri"/>
      <family val="2"/>
      <scheme val="minor"/>
    </font>
    <font>
      <b/>
      <sz val="11"/>
      <color theme="1"/>
      <name val="Calibri"/>
      <family val="2"/>
      <scheme val="minor"/>
    </font>
    <font>
      <sz val="10"/>
      <color rgb="FF000000"/>
      <name val="Times New Roman"/>
      <family val="1"/>
    </font>
    <font>
      <sz val="12"/>
      <color theme="1"/>
      <name val="Arial"/>
      <family val="2"/>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s>
  <borders count="16">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470">
    <xf numFmtId="0" fontId="0" fillId="0" borderId="0"/>
    <xf numFmtId="0" fontId="12" fillId="0" borderId="0" applyNumberFormat="0" applyFill="0" applyBorder="0" applyAlignment="0" applyProtection="0"/>
    <xf numFmtId="0" fontId="13" fillId="0" borderId="1"/>
    <xf numFmtId="0" fontId="13" fillId="0" borderId="1"/>
    <xf numFmtId="38" fontId="14" fillId="2" borderId="0" applyNumberFormat="0" applyBorder="0" applyAlignment="0" applyProtection="0"/>
    <xf numFmtId="0" fontId="15" fillId="0" borderId="2" applyNumberFormat="0" applyAlignment="0" applyProtection="0">
      <alignment horizontal="left" vertical="center"/>
    </xf>
    <xf numFmtId="0" fontId="15" fillId="0" borderId="3">
      <alignment horizontal="left" vertical="center"/>
    </xf>
    <xf numFmtId="10" fontId="14" fillId="3" borderId="4" applyNumberFormat="0" applyBorder="0" applyAlignment="0" applyProtection="0"/>
    <xf numFmtId="37" fontId="16" fillId="0" borderId="0"/>
    <xf numFmtId="166" fontId="17" fillId="0" borderId="0"/>
    <xf numFmtId="0" fontId="11" fillId="0" borderId="0"/>
    <xf numFmtId="0" fontId="11" fillId="0" borderId="0"/>
    <xf numFmtId="0" fontId="9" fillId="0" borderId="0"/>
    <xf numFmtId="0" fontId="9" fillId="0" borderId="0"/>
    <xf numFmtId="0" fontId="11" fillId="0" borderId="0">
      <alignment vertical="center"/>
    </xf>
    <xf numFmtId="167" fontId="11" fillId="0" borderId="0" applyFont="0" applyFill="0" applyBorder="0" applyAlignment="0" applyProtection="0"/>
    <xf numFmtId="10" fontId="11" fillId="0" borderId="0" applyFont="0" applyFill="0" applyBorder="0" applyAlignment="0" applyProtection="0"/>
    <xf numFmtId="0" fontId="11" fillId="0" borderId="0"/>
    <xf numFmtId="0" fontId="19" fillId="0" borderId="0"/>
    <xf numFmtId="43" fontId="19" fillId="0" borderId="0" applyFont="0" applyFill="0" applyBorder="0" applyAlignment="0" applyProtection="0"/>
    <xf numFmtId="9" fontId="19" fillId="0" borderId="0" applyFont="0" applyFill="0" applyBorder="0" applyAlignment="0" applyProtection="0"/>
    <xf numFmtId="165" fontId="20" fillId="0" borderId="0" applyFont="0" applyFill="0" applyBorder="0" applyAlignment="0" applyProtection="0"/>
    <xf numFmtId="0" fontId="21" fillId="0" borderId="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164" fontId="20" fillId="0" borderId="0" applyFont="0" applyFill="0" applyBorder="0" applyAlignment="0" applyProtection="0"/>
    <xf numFmtId="0" fontId="11" fillId="0" borderId="0"/>
    <xf numFmtId="0" fontId="11" fillId="0" borderId="0"/>
    <xf numFmtId="0" fontId="11" fillId="0" borderId="0"/>
    <xf numFmtId="0" fontId="11" fillId="0" borderId="0"/>
    <xf numFmtId="0" fontId="19" fillId="0" borderId="0"/>
    <xf numFmtId="0" fontId="20" fillId="0" borderId="0"/>
    <xf numFmtId="0" fontId="20" fillId="0" borderId="0"/>
    <xf numFmtId="0" fontId="19"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43" fontId="22"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9" fillId="0" borderId="0"/>
    <xf numFmtId="0" fontId="11" fillId="0" borderId="0" applyBorder="0" applyProtection="0"/>
    <xf numFmtId="167" fontId="20" fillId="0" borderId="0" applyFont="0" applyFill="0" applyBorder="0" applyAlignment="0" applyProtection="0"/>
    <xf numFmtId="0" fontId="11" fillId="0" borderId="0"/>
    <xf numFmtId="0" fontId="11" fillId="0" borderId="0"/>
    <xf numFmtId="0" fontId="11" fillId="0" borderId="0"/>
    <xf numFmtId="9" fontId="11" fillId="0" borderId="0" applyFont="0" applyFill="0" applyBorder="0" applyAlignment="0" applyProtection="0"/>
    <xf numFmtId="0" fontId="8" fillId="0" borderId="0"/>
    <xf numFmtId="43" fontId="8" fillId="0" borderId="0" applyFont="0" applyFill="0" applyBorder="0" applyAlignment="0" applyProtection="0"/>
    <xf numFmtId="165" fontId="11"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7" fillId="0" borderId="0"/>
    <xf numFmtId="0" fontId="7" fillId="0" borderId="0"/>
    <xf numFmtId="0" fontId="6" fillId="0" borderId="0"/>
    <xf numFmtId="0" fontId="5" fillId="0" borderId="0"/>
    <xf numFmtId="164" fontId="29"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75" fontId="11" fillId="0" borderId="0" applyFont="0" applyFill="0" applyBorder="0" applyAlignment="0" applyProtection="0"/>
    <xf numFmtId="0" fontId="30"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0" fontId="4"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175" fontId="11"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70" fontId="4" fillId="0" borderId="0" applyFont="0" applyFill="0" applyBorder="0" applyAlignment="0" applyProtection="0"/>
    <xf numFmtId="164" fontId="4" fillId="0" borderId="0" applyFont="0" applyFill="0" applyBorder="0" applyAlignment="0" applyProtection="0"/>
    <xf numFmtId="172" fontId="1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170" fontId="4" fillId="0" borderId="0" applyFont="0" applyFill="0" applyBorder="0" applyAlignment="0" applyProtection="0"/>
    <xf numFmtId="164" fontId="4" fillId="0" borderId="0" applyFont="0" applyFill="0" applyBorder="0" applyAlignment="0" applyProtection="0"/>
    <xf numFmtId="172" fontId="11"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31" fillId="0" borderId="0"/>
    <xf numFmtId="0" fontId="31" fillId="0" borderId="0"/>
    <xf numFmtId="0" fontId="4" fillId="0" borderId="0"/>
    <xf numFmtId="0" fontId="31"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8"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31" fillId="0" borderId="0"/>
    <xf numFmtId="0" fontId="4" fillId="0" borderId="0" applyFont="0" applyFill="0" applyBorder="0" applyAlignment="0" applyProtection="0"/>
    <xf numFmtId="0" fontId="4" fillId="0" borderId="0"/>
    <xf numFmtId="0" fontId="31"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175" fontId="11" fillId="0" borderId="0" applyFont="0" applyFill="0" applyBorder="0" applyAlignment="0" applyProtection="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0" fontId="4" fillId="0" borderId="0"/>
    <xf numFmtId="0" fontId="11"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0" fontId="11" fillId="0" borderId="0"/>
    <xf numFmtId="0" fontId="4" fillId="0" borderId="0"/>
    <xf numFmtId="0" fontId="4" fillId="0" borderId="0"/>
    <xf numFmtId="0" fontId="4" fillId="0" borderId="0"/>
    <xf numFmtId="0" fontId="4"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40" fillId="0" borderId="0"/>
    <xf numFmtId="0" fontId="2" fillId="0" borderId="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341">
    <xf numFmtId="0" fontId="0" fillId="0" borderId="0" xfId="0"/>
    <xf numFmtId="0" fontId="10" fillId="0" borderId="0" xfId="10" applyFont="1" applyAlignment="1">
      <alignment horizontal="center" vertical="center"/>
    </xf>
    <xf numFmtId="0" fontId="18" fillId="0" borderId="4" xfId="14" applyFont="1" applyBorder="1" applyAlignment="1">
      <alignment horizontal="center" vertical="center"/>
    </xf>
    <xf numFmtId="0" fontId="18" fillId="0" borderId="4" xfId="14" applyFont="1" applyBorder="1">
      <alignment vertical="center"/>
    </xf>
    <xf numFmtId="0" fontId="18" fillId="0" borderId="0" xfId="10" applyFont="1"/>
    <xf numFmtId="0" fontId="18" fillId="0" borderId="0" xfId="10" applyFont="1" applyAlignment="1">
      <alignment vertical="center"/>
    </xf>
    <xf numFmtId="0" fontId="10" fillId="0" borderId="0" xfId="14" applyFont="1">
      <alignment vertical="center"/>
    </xf>
    <xf numFmtId="0" fontId="10" fillId="0" borderId="4" xfId="14" applyFont="1" applyBorder="1" applyAlignment="1">
      <alignment horizontal="center" vertical="center"/>
    </xf>
    <xf numFmtId="0" fontId="10" fillId="0" borderId="4" xfId="14" applyFont="1" applyBorder="1" applyAlignment="1">
      <alignment horizontal="left" vertical="center"/>
    </xf>
    <xf numFmtId="0" fontId="10" fillId="0" borderId="4" xfId="14" applyFont="1" applyBorder="1" applyAlignment="1">
      <alignment vertical="top" wrapText="1"/>
    </xf>
    <xf numFmtId="0" fontId="10" fillId="0" borderId="0" xfId="10" applyFont="1"/>
    <xf numFmtId="0" fontId="15" fillId="0" borderId="8" xfId="14" applyFont="1" applyBorder="1" applyAlignment="1">
      <alignment horizontal="center" vertical="center"/>
    </xf>
    <xf numFmtId="0" fontId="15" fillId="0" borderId="4" xfId="14" applyFont="1" applyBorder="1" applyAlignment="1">
      <alignment horizontal="center" vertical="center"/>
    </xf>
    <xf numFmtId="0" fontId="18" fillId="0" borderId="0" xfId="14" applyFont="1">
      <alignment vertical="center"/>
    </xf>
    <xf numFmtId="0" fontId="23" fillId="0" borderId="4" xfId="14" applyFont="1" applyBorder="1" applyAlignment="1">
      <alignment horizontal="center" vertical="center"/>
    </xf>
    <xf numFmtId="0" fontId="23" fillId="0" borderId="4" xfId="14" applyFont="1" applyBorder="1" applyAlignment="1">
      <alignment horizontal="center" vertical="center" wrapText="1"/>
    </xf>
    <xf numFmtId="0" fontId="18" fillId="0" borderId="4" xfId="14" applyFont="1" applyBorder="1" applyAlignment="1">
      <alignment horizontal="left" vertical="center"/>
    </xf>
    <xf numFmtId="0" fontId="18" fillId="5" borderId="4" xfId="14" applyFont="1" applyFill="1" applyBorder="1" applyAlignment="1">
      <alignment horizontal="left" vertical="center"/>
    </xf>
    <xf numFmtId="0" fontId="18" fillId="0" borderId="4" xfId="14" applyFont="1" applyBorder="1" applyAlignment="1">
      <alignment vertical="top" wrapText="1"/>
    </xf>
    <xf numFmtId="0" fontId="23" fillId="0" borderId="4" xfId="14" applyFont="1" applyBorder="1">
      <alignment vertical="center"/>
    </xf>
    <xf numFmtId="0" fontId="18" fillId="0" borderId="4" xfId="10" applyFont="1" applyBorder="1" applyAlignment="1">
      <alignment horizontal="center" vertical="center"/>
    </xf>
    <xf numFmtId="0" fontId="18" fillId="0" borderId="4" xfId="10" applyFont="1" applyBorder="1" applyAlignment="1">
      <alignment horizontal="center" vertical="center" wrapText="1"/>
    </xf>
    <xf numFmtId="0" fontId="23" fillId="0" borderId="7" xfId="10" applyFont="1" applyBorder="1" applyAlignment="1">
      <alignment horizontal="center" vertical="center" wrapText="1"/>
    </xf>
    <xf numFmtId="0" fontId="23" fillId="0" borderId="4" xfId="10" applyFont="1" applyBorder="1" applyAlignment="1">
      <alignment horizontal="center" vertical="center"/>
    </xf>
    <xf numFmtId="0" fontId="23" fillId="0" borderId="0" xfId="10" applyFont="1" applyAlignment="1">
      <alignment horizontal="left" vertical="center"/>
    </xf>
    <xf numFmtId="0" fontId="23" fillId="0" borderId="0" xfId="10" applyFont="1" applyAlignment="1">
      <alignment horizontal="right" vertical="center"/>
    </xf>
    <xf numFmtId="0" fontId="23" fillId="0" borderId="0" xfId="14" applyFont="1" applyAlignment="1">
      <alignment horizontal="right" vertical="center"/>
    </xf>
    <xf numFmtId="0" fontId="18" fillId="0" borderId="4" xfId="10" applyFont="1" applyBorder="1" applyAlignment="1">
      <alignment vertical="center"/>
    </xf>
    <xf numFmtId="0" fontId="18" fillId="0" borderId="4" xfId="0" applyFont="1" applyBorder="1" applyAlignment="1">
      <alignment vertical="center"/>
    </xf>
    <xf numFmtId="0" fontId="18" fillId="0" borderId="4" xfId="10" applyFont="1" applyBorder="1" applyAlignment="1">
      <alignment horizontal="left" vertical="center"/>
    </xf>
    <xf numFmtId="0" fontId="23" fillId="0" borderId="4" xfId="10" applyFont="1" applyBorder="1" applyAlignment="1">
      <alignment horizontal="left" vertical="center" wrapText="1"/>
    </xf>
    <xf numFmtId="0" fontId="23" fillId="0" borderId="4" xfId="10" applyFont="1" applyBorder="1" applyAlignment="1">
      <alignment horizontal="center" vertical="center" wrapText="1"/>
    </xf>
    <xf numFmtId="0" fontId="23" fillId="0" borderId="0" xfId="10" applyFont="1" applyAlignment="1">
      <alignment vertical="center"/>
    </xf>
    <xf numFmtId="0" fontId="23" fillId="0" borderId="0" xfId="14" applyFont="1" applyAlignment="1">
      <alignment horizontal="center" vertical="center"/>
    </xf>
    <xf numFmtId="0" fontId="18" fillId="0" borderId="0" xfId="10" applyFont="1" applyAlignment="1">
      <alignment horizontal="center" vertical="center"/>
    </xf>
    <xf numFmtId="0" fontId="23" fillId="0" borderId="0" xfId="10" applyFont="1" applyAlignment="1">
      <alignment horizontal="center" vertical="center"/>
    </xf>
    <xf numFmtId="0" fontId="23" fillId="0" borderId="0" xfId="14" applyFont="1">
      <alignment vertical="center"/>
    </xf>
    <xf numFmtId="0" fontId="18" fillId="0" borderId="4" xfId="10" applyFont="1" applyBorder="1" applyAlignment="1">
      <alignment horizontal="left" vertical="center" wrapText="1"/>
    </xf>
    <xf numFmtId="0" fontId="23" fillId="0" borderId="0" xfId="14" applyFont="1" applyAlignment="1">
      <alignment horizontal="center" vertical="center" wrapText="1"/>
    </xf>
    <xf numFmtId="0" fontId="23" fillId="0" borderId="4" xfId="10" applyFont="1" applyBorder="1" applyAlignment="1">
      <alignment vertical="center"/>
    </xf>
    <xf numFmtId="0" fontId="18" fillId="0" borderId="4" xfId="10" applyFont="1" applyBorder="1" applyAlignment="1">
      <alignment horizontal="right" vertical="center"/>
    </xf>
    <xf numFmtId="0" fontId="23" fillId="0" borderId="0" xfId="10" applyFont="1" applyAlignment="1">
      <alignment horizontal="centerContinuous"/>
    </xf>
    <xf numFmtId="0" fontId="18" fillId="0" borderId="0" xfId="10" applyFont="1" applyAlignment="1">
      <alignment horizontal="centerContinuous"/>
    </xf>
    <xf numFmtId="0" fontId="18" fillId="0" borderId="4" xfId="10" applyFont="1" applyBorder="1"/>
    <xf numFmtId="0" fontId="23" fillId="0" borderId="4" xfId="10" applyFont="1" applyBorder="1"/>
    <xf numFmtId="0" fontId="23" fillId="0" borderId="0" xfId="10" applyFont="1" applyAlignment="1">
      <alignment horizontal="justify" vertical="top" wrapText="1"/>
    </xf>
    <xf numFmtId="0" fontId="18" fillId="0" borderId="0" xfId="10" applyFont="1" applyAlignment="1">
      <alignment horizontal="left"/>
    </xf>
    <xf numFmtId="0" fontId="18" fillId="0" borderId="4" xfId="10" applyFont="1" applyBorder="1" applyAlignment="1">
      <alignment wrapText="1"/>
    </xf>
    <xf numFmtId="0" fontId="18" fillId="0" borderId="0" xfId="10" applyFont="1" applyAlignment="1">
      <alignment horizontal="left" vertical="center"/>
    </xf>
    <xf numFmtId="0" fontId="18" fillId="0" borderId="0" xfId="10" applyFont="1" applyAlignment="1">
      <alignment horizontal="right" vertical="center"/>
    </xf>
    <xf numFmtId="0" fontId="24" fillId="0" borderId="0" xfId="10" applyFont="1" applyAlignment="1">
      <alignment horizontal="left" vertical="center"/>
    </xf>
    <xf numFmtId="0" fontId="24" fillId="0" borderId="0" xfId="10" applyFont="1" applyAlignment="1">
      <alignment vertical="center"/>
    </xf>
    <xf numFmtId="0" fontId="24" fillId="0" borderId="0" xfId="10" applyFont="1" applyAlignment="1">
      <alignment horizontal="center" vertical="center"/>
    </xf>
    <xf numFmtId="0" fontId="18" fillId="0" borderId="4" xfId="10" quotePrefix="1" applyFont="1" applyBorder="1" applyAlignment="1">
      <alignment horizontal="left" vertical="top" wrapText="1"/>
    </xf>
    <xf numFmtId="0" fontId="18" fillId="0" borderId="4" xfId="10" applyFont="1" applyBorder="1" applyAlignment="1">
      <alignment horizontal="left"/>
    </xf>
    <xf numFmtId="0" fontId="23" fillId="0" borderId="4" xfId="10" applyFont="1" applyBorder="1" applyAlignment="1">
      <alignment horizontal="left"/>
    </xf>
    <xf numFmtId="0" fontId="18" fillId="0" borderId="0" xfId="14" applyFont="1" applyAlignment="1">
      <alignment horizontal="center" vertical="center"/>
    </xf>
    <xf numFmtId="0" fontId="18" fillId="0" borderId="4" xfId="10" applyFont="1" applyBorder="1" applyAlignment="1">
      <alignment horizontal="left" vertical="top" wrapText="1"/>
    </xf>
    <xf numFmtId="0" fontId="23" fillId="0" borderId="0" xfId="10" applyFont="1" applyAlignment="1">
      <alignment horizontal="left"/>
    </xf>
    <xf numFmtId="0" fontId="23" fillId="0" borderId="0" xfId="10" applyFont="1" applyAlignment="1">
      <alignment horizontal="right"/>
    </xf>
    <xf numFmtId="0" fontId="23" fillId="0" borderId="0" xfId="10" applyFont="1" applyAlignment="1">
      <alignment horizontal="left" vertical="center" wrapText="1"/>
    </xf>
    <xf numFmtId="0" fontId="23" fillId="0" borderId="0" xfId="10" applyFont="1" applyAlignment="1">
      <alignment horizontal="center" vertical="center" wrapText="1"/>
    </xf>
    <xf numFmtId="0" fontId="18" fillId="0" borderId="7" xfId="10" applyFont="1" applyBorder="1" applyAlignment="1">
      <alignment horizontal="center" vertical="center"/>
    </xf>
    <xf numFmtId="0" fontId="24" fillId="0" borderId="0" xfId="10" applyFont="1" applyAlignment="1">
      <alignment horizontal="right" vertical="center"/>
    </xf>
    <xf numFmtId="0" fontId="18" fillId="0" borderId="0" xfId="10" applyFont="1" applyAlignment="1">
      <alignment horizontal="center"/>
    </xf>
    <xf numFmtId="0" fontId="15" fillId="0" borderId="0" xfId="14" applyFont="1" applyAlignment="1">
      <alignment horizontal="center" vertical="center"/>
    </xf>
    <xf numFmtId="0" fontId="18" fillId="0" borderId="4" xfId="10" applyFont="1" applyBorder="1" applyAlignment="1">
      <alignment vertical="center" wrapText="1"/>
    </xf>
    <xf numFmtId="0" fontId="18" fillId="0" borderId="9" xfId="14" applyFont="1" applyBorder="1">
      <alignment vertical="center"/>
    </xf>
    <xf numFmtId="0" fontId="23" fillId="0" borderId="4" xfId="10" applyFont="1" applyBorder="1" applyAlignment="1">
      <alignment vertical="center" wrapText="1"/>
    </xf>
    <xf numFmtId="0" fontId="23" fillId="4" borderId="4" xfId="14" applyFont="1" applyFill="1" applyBorder="1" applyAlignment="1">
      <alignment horizontal="center" vertical="center" wrapText="1"/>
    </xf>
    <xf numFmtId="0" fontId="23" fillId="0" borderId="0" xfId="10" applyFont="1" applyAlignment="1">
      <alignment horizontal="centerContinuous" vertical="center"/>
    </xf>
    <xf numFmtId="0" fontId="18" fillId="0" borderId="0" xfId="10" applyFont="1" applyAlignment="1">
      <alignment horizontal="centerContinuous" vertical="center"/>
    </xf>
    <xf numFmtId="0" fontId="23" fillId="4" borderId="4" xfId="10" quotePrefix="1" applyFont="1" applyFill="1" applyBorder="1" applyAlignment="1">
      <alignment horizontal="center" vertical="center" wrapText="1"/>
    </xf>
    <xf numFmtId="0" fontId="23" fillId="4" borderId="4" xfId="10" applyFont="1" applyFill="1" applyBorder="1" applyAlignment="1">
      <alignment horizontal="left" vertical="center" wrapText="1"/>
    </xf>
    <xf numFmtId="0" fontId="23" fillId="4" borderId="4" xfId="10" applyFont="1" applyFill="1" applyBorder="1" applyAlignment="1">
      <alignment horizontal="center" vertical="center"/>
    </xf>
    <xf numFmtId="0" fontId="18" fillId="4" borderId="4" xfId="14" applyFont="1" applyFill="1" applyBorder="1">
      <alignment vertical="center"/>
    </xf>
    <xf numFmtId="0" fontId="18" fillId="4" borderId="4" xfId="10" applyFont="1" applyFill="1" applyBorder="1" applyAlignment="1">
      <alignment horizontal="center" vertical="center"/>
    </xf>
    <xf numFmtId="0" fontId="18" fillId="4" borderId="4" xfId="10" applyFont="1" applyFill="1" applyBorder="1" applyAlignment="1">
      <alignment vertical="center" wrapText="1"/>
    </xf>
    <xf numFmtId="0" fontId="23" fillId="4" borderId="4" xfId="10" applyFont="1" applyFill="1" applyBorder="1" applyAlignment="1">
      <alignment vertical="center" wrapText="1"/>
    </xf>
    <xf numFmtId="0" fontId="18" fillId="4" borderId="4" xfId="10" applyFont="1" applyFill="1" applyBorder="1" applyAlignment="1">
      <alignment vertical="center"/>
    </xf>
    <xf numFmtId="0" fontId="23" fillId="4" borderId="0" xfId="10" applyFont="1" applyFill="1" applyAlignment="1">
      <alignment vertical="center"/>
    </xf>
    <xf numFmtId="0" fontId="18" fillId="4" borderId="0" xfId="10" applyFont="1" applyFill="1" applyAlignment="1">
      <alignment vertical="center"/>
    </xf>
    <xf numFmtId="166" fontId="18" fillId="0" borderId="0" xfId="10" applyNumberFormat="1" applyFont="1" applyAlignment="1">
      <alignment vertical="center"/>
    </xf>
    <xf numFmtId="0" fontId="23" fillId="0" borderId="0" xfId="14" applyFont="1" applyAlignment="1">
      <alignment horizontal="left" vertical="center" wrapText="1"/>
    </xf>
    <xf numFmtId="0" fontId="25" fillId="0" borderId="0" xfId="10" applyFont="1" applyAlignment="1">
      <alignment horizontal="left" vertical="center"/>
    </xf>
    <xf numFmtId="0" fontId="18" fillId="0" borderId="0" xfId="0" applyFont="1" applyAlignment="1">
      <alignment vertical="center"/>
    </xf>
    <xf numFmtId="0" fontId="23" fillId="0" borderId="4" xfId="0" applyFont="1" applyBorder="1" applyAlignment="1">
      <alignment horizontal="center" vertical="center"/>
    </xf>
    <xf numFmtId="0" fontId="18" fillId="0" borderId="4" xfId="0" applyFont="1" applyBorder="1" applyAlignment="1">
      <alignment horizontal="center" vertical="center"/>
    </xf>
    <xf numFmtId="0" fontId="23" fillId="0" borderId="4" xfId="0" applyFont="1" applyBorder="1" applyAlignment="1">
      <alignment vertical="center"/>
    </xf>
    <xf numFmtId="0" fontId="18" fillId="0" borderId="4" xfId="0" applyFont="1" applyBorder="1" applyAlignment="1">
      <alignment vertical="center" wrapText="1"/>
    </xf>
    <xf numFmtId="0" fontId="26" fillId="0" borderId="4" xfId="0" applyFont="1" applyBorder="1" applyAlignment="1">
      <alignment vertical="center"/>
    </xf>
    <xf numFmtId="0" fontId="26" fillId="0" borderId="7" xfId="0" applyFont="1" applyBorder="1" applyAlignment="1">
      <alignment vertical="center"/>
    </xf>
    <xf numFmtId="0" fontId="27" fillId="0" borderId="4"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8" fillId="0" borderId="0" xfId="10" applyFont="1" applyAlignment="1">
      <alignment vertical="center"/>
    </xf>
    <xf numFmtId="16" fontId="23" fillId="0" borderId="4" xfId="1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18" fillId="0" borderId="8" xfId="0" applyFont="1" applyBorder="1" applyAlignment="1">
      <alignment horizontal="center" vertical="center" wrapText="1"/>
    </xf>
    <xf numFmtId="0" fontId="18" fillId="0" borderId="8" xfId="0" applyFont="1" applyBorder="1" applyAlignment="1">
      <alignment vertical="center" wrapText="1"/>
    </xf>
    <xf numFmtId="2" fontId="18" fillId="0" borderId="4" xfId="0" applyNumberFormat="1" applyFont="1" applyBorder="1" applyAlignment="1">
      <alignment vertical="center"/>
    </xf>
    <xf numFmtId="0" fontId="18" fillId="0" borderId="4" xfId="0" applyFont="1" applyBorder="1" applyAlignment="1">
      <alignment horizontal="center" vertical="center" wrapText="1"/>
    </xf>
    <xf numFmtId="1" fontId="18" fillId="0" borderId="4" xfId="0" applyNumberFormat="1" applyFont="1" applyBorder="1" applyAlignment="1">
      <alignment vertical="center"/>
    </xf>
    <xf numFmtId="2" fontId="18" fillId="0" borderId="4" xfId="0" applyNumberFormat="1" applyFont="1" applyBorder="1" applyAlignment="1">
      <alignment horizontal="right" vertical="center"/>
    </xf>
    <xf numFmtId="0" fontId="23" fillId="0" borderId="9" xfId="0" applyFont="1" applyBorder="1" applyAlignment="1">
      <alignment vertical="center" wrapText="1"/>
    </xf>
    <xf numFmtId="2" fontId="23" fillId="0" borderId="4" xfId="0" applyNumberFormat="1" applyFont="1" applyBorder="1" applyAlignment="1">
      <alignment vertical="center"/>
    </xf>
    <xf numFmtId="0" fontId="23" fillId="0" borderId="4" xfId="0" applyFont="1" applyBorder="1" applyAlignment="1">
      <alignment vertical="center" wrapText="1"/>
    </xf>
    <xf numFmtId="2" fontId="23" fillId="0" borderId="4" xfId="0" applyNumberFormat="1" applyFont="1" applyBorder="1" applyAlignment="1">
      <alignment horizontal="right" vertical="center"/>
    </xf>
    <xf numFmtId="2" fontId="18" fillId="0" borderId="4" xfId="10" applyNumberFormat="1" applyFont="1" applyBorder="1" applyAlignment="1">
      <alignment horizontal="center" vertical="center"/>
    </xf>
    <xf numFmtId="2" fontId="23" fillId="6" borderId="4" xfId="0" applyNumberFormat="1" applyFont="1" applyFill="1" applyBorder="1" applyAlignment="1">
      <alignment vertical="center"/>
    </xf>
    <xf numFmtId="2" fontId="23" fillId="0" borderId="4" xfId="10" applyNumberFormat="1" applyFont="1" applyBorder="1" applyAlignment="1">
      <alignment horizontal="center" vertical="center" wrapText="1"/>
    </xf>
    <xf numFmtId="2" fontId="18" fillId="0" borderId="4" xfId="10" applyNumberFormat="1" applyFont="1" applyBorder="1" applyAlignment="1">
      <alignment horizontal="center" vertical="center" wrapText="1"/>
    </xf>
    <xf numFmtId="2" fontId="23" fillId="6" borderId="4" xfId="14" applyNumberFormat="1" applyFont="1" applyFill="1" applyBorder="1">
      <alignment vertical="center"/>
    </xf>
    <xf numFmtId="2" fontId="23" fillId="6" borderId="4" xfId="10" applyNumberFormat="1" applyFont="1" applyFill="1" applyBorder="1" applyAlignment="1">
      <alignment vertical="center"/>
    </xf>
    <xf numFmtId="0" fontId="23" fillId="0" borderId="9" xfId="14" applyFont="1" applyBorder="1">
      <alignment vertical="center"/>
    </xf>
    <xf numFmtId="2" fontId="23" fillId="6" borderId="9" xfId="14" applyNumberFormat="1" applyFont="1" applyFill="1" applyBorder="1">
      <alignment vertical="center"/>
    </xf>
    <xf numFmtId="10" fontId="18" fillId="0" borderId="9" xfId="14" applyNumberFormat="1" applyFont="1" applyBorder="1">
      <alignment vertical="center"/>
    </xf>
    <xf numFmtId="2" fontId="18" fillId="0" borderId="9" xfId="14" applyNumberFormat="1" applyFont="1" applyBorder="1">
      <alignment vertical="center"/>
    </xf>
    <xf numFmtId="2" fontId="18" fillId="0" borderId="4" xfId="10" applyNumberFormat="1" applyFont="1" applyBorder="1" applyAlignment="1">
      <alignment vertical="center"/>
    </xf>
    <xf numFmtId="2" fontId="18" fillId="0" borderId="4" xfId="14" applyNumberFormat="1" applyFont="1" applyBorder="1" applyAlignment="1">
      <alignment horizontal="center" vertical="center"/>
    </xf>
    <xf numFmtId="2" fontId="23" fillId="6" borderId="4" xfId="14" applyNumberFormat="1" applyFont="1" applyFill="1" applyBorder="1" applyAlignment="1">
      <alignment horizontal="center" vertical="center"/>
    </xf>
    <xf numFmtId="2" fontId="18" fillId="0" borderId="4" xfId="14" applyNumberFormat="1" applyFont="1" applyBorder="1">
      <alignment vertical="center"/>
    </xf>
    <xf numFmtId="10" fontId="23" fillId="6" borderId="4" xfId="14" applyNumberFormat="1" applyFont="1" applyFill="1" applyBorder="1">
      <alignment vertical="center"/>
    </xf>
    <xf numFmtId="2" fontId="23" fillId="6" borderId="4" xfId="10" applyNumberFormat="1" applyFont="1" applyFill="1" applyBorder="1"/>
    <xf numFmtId="2" fontId="18" fillId="0" borderId="4" xfId="10" applyNumberFormat="1" applyFont="1" applyBorder="1" applyAlignment="1">
      <alignment horizontal="right" vertical="center"/>
    </xf>
    <xf numFmtId="2" fontId="23" fillId="0" borderId="4" xfId="14" applyNumberFormat="1" applyFont="1" applyBorder="1" applyAlignment="1">
      <alignment horizontal="center" vertical="center"/>
    </xf>
    <xf numFmtId="0" fontId="18" fillId="0" borderId="4" xfId="14" applyFont="1" applyBorder="1" applyAlignment="1">
      <alignment horizontal="right" vertical="center"/>
    </xf>
    <xf numFmtId="2" fontId="18" fillId="0" borderId="4" xfId="14" applyNumberFormat="1" applyFont="1" applyBorder="1" applyAlignment="1">
      <alignment horizontal="right" vertical="center"/>
    </xf>
    <xf numFmtId="0" fontId="18" fillId="0" borderId="4" xfId="10" applyFont="1" applyBorder="1" applyAlignment="1">
      <alignment horizontal="right" vertical="center" wrapText="1"/>
    </xf>
    <xf numFmtId="2" fontId="18" fillId="0" borderId="4" xfId="10" applyNumberFormat="1" applyFont="1" applyBorder="1" applyAlignment="1">
      <alignment horizontal="right" vertical="center" wrapText="1"/>
    </xf>
    <xf numFmtId="0" fontId="18" fillId="0" borderId="9" xfId="14" applyFont="1" applyBorder="1" applyAlignment="1">
      <alignment horizontal="right" vertical="center"/>
    </xf>
    <xf numFmtId="2" fontId="23" fillId="6" borderId="9" xfId="14" applyNumberFormat="1" applyFont="1" applyFill="1" applyBorder="1" applyAlignment="1">
      <alignment horizontal="right" vertical="center"/>
    </xf>
    <xf numFmtId="2" fontId="18" fillId="6" borderId="9" xfId="14" applyNumberFormat="1" applyFont="1" applyFill="1" applyBorder="1">
      <alignment vertical="center"/>
    </xf>
    <xf numFmtId="0" fontId="23" fillId="0" borderId="3" xfId="14" applyFont="1" applyBorder="1" applyAlignment="1">
      <alignment horizontal="center" vertical="center" wrapText="1"/>
    </xf>
    <xf numFmtId="0" fontId="23" fillId="0" borderId="9" xfId="0" applyFont="1" applyBorder="1" applyAlignment="1">
      <alignment horizontal="center" vertical="center"/>
    </xf>
    <xf numFmtId="2" fontId="18" fillId="0" borderId="4" xfId="10" applyNumberFormat="1" applyFont="1" applyBorder="1"/>
    <xf numFmtId="2" fontId="18" fillId="0" borderId="4" xfId="10" applyNumberFormat="1" applyFont="1" applyBorder="1" applyAlignment="1">
      <alignment vertical="top" wrapText="1"/>
    </xf>
    <xf numFmtId="2" fontId="23" fillId="0" borderId="4" xfId="10" applyNumberFormat="1" applyFont="1" applyBorder="1" applyAlignment="1">
      <alignment vertical="top" wrapText="1"/>
    </xf>
    <xf numFmtId="2" fontId="23" fillId="0" borderId="4" xfId="14" applyNumberFormat="1" applyFont="1" applyBorder="1">
      <alignment vertical="center"/>
    </xf>
    <xf numFmtId="169" fontId="18" fillId="0" borderId="4" xfId="0" applyNumberFormat="1" applyFont="1" applyBorder="1" applyAlignment="1">
      <alignment vertical="center"/>
    </xf>
    <xf numFmtId="170" fontId="23" fillId="6" borderId="4" xfId="0" applyNumberFormat="1" applyFont="1" applyFill="1" applyBorder="1" applyAlignment="1">
      <alignment vertical="center"/>
    </xf>
    <xf numFmtId="170" fontId="18" fillId="0" borderId="4" xfId="0" applyNumberFormat="1" applyFont="1" applyBorder="1" applyAlignment="1">
      <alignment vertical="center"/>
    </xf>
    <xf numFmtId="10" fontId="18" fillId="0" borderId="0" xfId="14" applyNumberFormat="1" applyFont="1">
      <alignment vertical="center"/>
    </xf>
    <xf numFmtId="2" fontId="18" fillId="0" borderId="9" xfId="14" applyNumberFormat="1" applyFont="1" applyBorder="1" applyAlignment="1">
      <alignment horizontal="right" vertical="center"/>
    </xf>
    <xf numFmtId="2" fontId="18" fillId="6" borderId="4" xfId="10" applyNumberFormat="1" applyFont="1" applyFill="1" applyBorder="1" applyAlignment="1">
      <alignment horizontal="right" vertical="center"/>
    </xf>
    <xf numFmtId="2" fontId="18" fillId="6" borderId="4" xfId="10" applyNumberFormat="1" applyFont="1" applyFill="1" applyBorder="1" applyAlignment="1">
      <alignment horizontal="right" vertical="center" wrapText="1"/>
    </xf>
    <xf numFmtId="2" fontId="23" fillId="6" borderId="4" xfId="10" applyNumberFormat="1" applyFont="1" applyFill="1" applyBorder="1" applyAlignment="1">
      <alignment horizontal="right" vertical="center"/>
    </xf>
    <xf numFmtId="2" fontId="18" fillId="0" borderId="0" xfId="14" applyNumberFormat="1" applyFont="1">
      <alignment vertical="center"/>
    </xf>
    <xf numFmtId="171" fontId="18" fillId="0" borderId="0" xfId="14" applyNumberFormat="1" applyFont="1">
      <alignment vertical="center"/>
    </xf>
    <xf numFmtId="1" fontId="18" fillId="0" borderId="0" xfId="14" applyNumberFormat="1" applyFont="1">
      <alignment vertical="center"/>
    </xf>
    <xf numFmtId="4" fontId="18" fillId="0" borderId="0" xfId="10" applyNumberFormat="1" applyFont="1" applyAlignment="1">
      <alignment vertical="center"/>
    </xf>
    <xf numFmtId="168" fontId="18" fillId="0" borderId="0" xfId="10" applyNumberFormat="1" applyFont="1" applyAlignment="1">
      <alignment vertical="center"/>
    </xf>
    <xf numFmtId="0" fontId="0" fillId="0" borderId="4" xfId="0" applyBorder="1"/>
    <xf numFmtId="164" fontId="18" fillId="0" borderId="4" xfId="70" applyFont="1" applyBorder="1" applyAlignment="1">
      <alignment horizontal="center" vertical="center"/>
    </xf>
    <xf numFmtId="164" fontId="18" fillId="0" borderId="4" xfId="70" applyFont="1" applyBorder="1" applyAlignment="1">
      <alignment vertical="center"/>
    </xf>
    <xf numFmtId="164" fontId="0" fillId="0" borderId="4" xfId="70" applyFont="1" applyBorder="1"/>
    <xf numFmtId="0" fontId="32" fillId="0" borderId="8" xfId="10" applyFont="1" applyBorder="1" applyAlignment="1">
      <alignment horizontal="center" vertical="center" wrapText="1"/>
    </xf>
    <xf numFmtId="0" fontId="32" fillId="0" borderId="4" xfId="10" applyFont="1" applyBorder="1" applyAlignment="1">
      <alignment vertical="center" wrapText="1"/>
    </xf>
    <xf numFmtId="0" fontId="32" fillId="0" borderId="4" xfId="10" applyFont="1" applyBorder="1" applyAlignment="1">
      <alignment horizontal="center" vertical="center" wrapText="1"/>
    </xf>
    <xf numFmtId="2" fontId="23" fillId="0" borderId="13" xfId="10" applyNumberFormat="1" applyFont="1" applyBorder="1" applyAlignment="1">
      <alignment vertical="center"/>
    </xf>
    <xf numFmtId="0" fontId="23" fillId="0" borderId="13" xfId="10" applyFont="1" applyBorder="1" applyAlignment="1">
      <alignment vertical="center" wrapText="1"/>
    </xf>
    <xf numFmtId="2" fontId="18" fillId="0" borderId="0" xfId="10" applyNumberFormat="1" applyFont="1" applyAlignment="1">
      <alignment horizontal="left" vertical="center"/>
    </xf>
    <xf numFmtId="164" fontId="18" fillId="0" borderId="0" xfId="10" applyNumberFormat="1" applyFont="1" applyAlignment="1">
      <alignment vertical="center"/>
    </xf>
    <xf numFmtId="0" fontId="10" fillId="0" borderId="4" xfId="14" applyFont="1" applyBorder="1" applyAlignment="1">
      <alignment vertical="center" wrapText="1"/>
    </xf>
    <xf numFmtId="2" fontId="18" fillId="0" borderId="0" xfId="10" applyNumberFormat="1" applyFont="1" applyAlignment="1">
      <alignment vertical="center"/>
    </xf>
    <xf numFmtId="2" fontId="23" fillId="6" borderId="4" xfId="14" applyNumberFormat="1" applyFont="1" applyFill="1" applyBorder="1" applyAlignment="1">
      <alignment horizontal="right" vertical="center"/>
    </xf>
    <xf numFmtId="2" fontId="23" fillId="5" borderId="4" xfId="14" applyNumberFormat="1" applyFont="1" applyFill="1" applyBorder="1" applyAlignment="1">
      <alignment horizontal="right" vertical="center"/>
    </xf>
    <xf numFmtId="2" fontId="23" fillId="0" borderId="4" xfId="14" applyNumberFormat="1" applyFont="1" applyBorder="1" applyAlignment="1">
      <alignment horizontal="right" vertical="center"/>
    </xf>
    <xf numFmtId="170" fontId="23" fillId="6" borderId="4" xfId="14" applyNumberFormat="1" applyFont="1" applyFill="1" applyBorder="1" applyAlignment="1">
      <alignment horizontal="right" vertical="center"/>
    </xf>
    <xf numFmtId="2" fontId="23" fillId="6" borderId="13" xfId="14" applyNumberFormat="1" applyFont="1" applyFill="1" applyBorder="1" applyAlignment="1">
      <alignment horizontal="right" vertical="center"/>
    </xf>
    <xf numFmtId="176" fontId="18" fillId="0" borderId="9" xfId="38" applyNumberFormat="1" applyFont="1" applyBorder="1" applyAlignment="1">
      <alignment vertical="center"/>
    </xf>
    <xf numFmtId="176" fontId="18" fillId="0" borderId="9" xfId="14" applyNumberFormat="1" applyFont="1" applyBorder="1">
      <alignment vertical="center"/>
    </xf>
    <xf numFmtId="176" fontId="23" fillId="6" borderId="9" xfId="14" applyNumberFormat="1" applyFont="1" applyFill="1" applyBorder="1">
      <alignment vertical="center"/>
    </xf>
    <xf numFmtId="0" fontId="23" fillId="0" borderId="13" xfId="14" applyFont="1" applyBorder="1" applyAlignment="1">
      <alignment horizontal="left" vertical="center" wrapText="1"/>
    </xf>
    <xf numFmtId="0" fontId="23" fillId="0" borderId="13" xfId="10" applyFont="1" applyBorder="1" applyAlignment="1">
      <alignment vertical="center"/>
    </xf>
    <xf numFmtId="0" fontId="33" fillId="0" borderId="13" xfId="14" applyFont="1" applyBorder="1" applyAlignment="1">
      <alignment horizontal="center" vertical="center" wrapText="1"/>
    </xf>
    <xf numFmtId="0" fontId="23" fillId="0" borderId="13" xfId="14" applyFont="1" applyBorder="1" applyAlignment="1">
      <alignment vertical="center" wrapText="1"/>
    </xf>
    <xf numFmtId="164" fontId="18" fillId="4" borderId="13" xfId="70" applyFont="1" applyFill="1" applyBorder="1" applyAlignment="1">
      <alignment horizontal="right" vertical="center"/>
    </xf>
    <xf numFmtId="2" fontId="18" fillId="0" borderId="4" xfId="14" applyNumberFormat="1" applyFont="1" applyBorder="1" applyAlignment="1">
      <alignment horizontal="right" vertical="center" wrapText="1"/>
    </xf>
    <xf numFmtId="164" fontId="34" fillId="7" borderId="13" xfId="94" applyFont="1" applyFill="1" applyBorder="1"/>
    <xf numFmtId="170" fontId="35" fillId="0" borderId="13" xfId="10" applyNumberFormat="1" applyFont="1" applyBorder="1" applyAlignment="1">
      <alignment horizontal="right" vertical="center"/>
    </xf>
    <xf numFmtId="2" fontId="35" fillId="0" borderId="13" xfId="10" applyNumberFormat="1" applyFont="1" applyBorder="1" applyAlignment="1">
      <alignment horizontal="right" vertical="center"/>
    </xf>
    <xf numFmtId="2" fontId="36" fillId="0" borderId="13" xfId="10" applyNumberFormat="1" applyFont="1" applyBorder="1" applyAlignment="1">
      <alignment horizontal="right" vertical="center"/>
    </xf>
    <xf numFmtId="0" fontId="23" fillId="0" borderId="13" xfId="0" applyFont="1" applyBorder="1" applyAlignment="1">
      <alignment horizontal="center" vertical="center"/>
    </xf>
    <xf numFmtId="0" fontId="23" fillId="0" borderId="13" xfId="0" applyFont="1" applyBorder="1" applyAlignment="1">
      <alignment vertical="center"/>
    </xf>
    <xf numFmtId="0" fontId="18" fillId="0" borderId="0" xfId="0" applyFont="1" applyAlignment="1">
      <alignment horizontal="center" vertical="center"/>
    </xf>
    <xf numFmtId="0" fontId="18" fillId="0" borderId="13" xfId="0" applyFont="1" applyBorder="1" applyAlignment="1">
      <alignment vertical="center"/>
    </xf>
    <xf numFmtId="0" fontId="18" fillId="0" borderId="13" xfId="0" applyFont="1" applyBorder="1" applyAlignment="1">
      <alignment horizontal="center" vertical="center"/>
    </xf>
    <xf numFmtId="1" fontId="11" fillId="0" borderId="13" xfId="0" applyNumberFormat="1" applyFont="1" applyBorder="1" applyAlignment="1">
      <alignment vertical="center"/>
    </xf>
    <xf numFmtId="0" fontId="11" fillId="0" borderId="13" xfId="0" applyFont="1" applyBorder="1" applyAlignment="1">
      <alignment horizontal="center" vertical="center"/>
    </xf>
    <xf numFmtId="2" fontId="11" fillId="0" borderId="13" xfId="0" applyNumberFormat="1" applyFont="1" applyBorder="1" applyAlignment="1">
      <alignment vertical="center"/>
    </xf>
    <xf numFmtId="0" fontId="11" fillId="0" borderId="13" xfId="0" applyFont="1" applyBorder="1" applyAlignment="1">
      <alignment vertical="center"/>
    </xf>
    <xf numFmtId="0" fontId="23" fillId="6" borderId="13" xfId="0" applyFont="1" applyFill="1" applyBorder="1" applyAlignment="1">
      <alignment vertical="center"/>
    </xf>
    <xf numFmtId="2" fontId="23" fillId="6" borderId="13" xfId="0" applyNumberFormat="1" applyFont="1" applyFill="1" applyBorder="1" applyAlignment="1">
      <alignment vertical="center"/>
    </xf>
    <xf numFmtId="0" fontId="18" fillId="0" borderId="13" xfId="0" applyFont="1" applyBorder="1" applyAlignment="1">
      <alignment vertical="center" wrapText="1"/>
    </xf>
    <xf numFmtId="170" fontId="23" fillId="6" borderId="13" xfId="0" applyNumberFormat="1" applyFont="1" applyFill="1" applyBorder="1" applyAlignment="1">
      <alignment vertical="center"/>
    </xf>
    <xf numFmtId="2" fontId="0" fillId="0" borderId="13" xfId="0" applyNumberFormat="1" applyBorder="1" applyAlignment="1">
      <alignment horizontal="center"/>
    </xf>
    <xf numFmtId="1" fontId="0" fillId="0" borderId="13" xfId="0" applyNumberFormat="1" applyBorder="1"/>
    <xf numFmtId="2" fontId="18" fillId="0" borderId="13" xfId="0" applyNumberFormat="1" applyFont="1" applyBorder="1" applyAlignment="1">
      <alignment horizontal="center" vertical="center"/>
    </xf>
    <xf numFmtId="2" fontId="0" fillId="0" borderId="13" xfId="0" applyNumberFormat="1" applyBorder="1"/>
    <xf numFmtId="0" fontId="23" fillId="0" borderId="0" xfId="0" applyFont="1" applyAlignment="1">
      <alignment vertical="center"/>
    </xf>
    <xf numFmtId="0" fontId="0" fillId="0" borderId="13" xfId="0" applyBorder="1"/>
    <xf numFmtId="0" fontId="11" fillId="0" borderId="14" xfId="0" applyFont="1" applyBorder="1" applyAlignment="1">
      <alignment vertical="center"/>
    </xf>
    <xf numFmtId="0" fontId="11" fillId="0" borderId="15" xfId="0" applyFont="1" applyBorder="1" applyAlignment="1">
      <alignment vertical="center"/>
    </xf>
    <xf numFmtId="0" fontId="11" fillId="0" borderId="15" xfId="0" applyFont="1" applyBorder="1" applyAlignment="1">
      <alignment horizontal="center" vertical="center"/>
    </xf>
    <xf numFmtId="0" fontId="0" fillId="0" borderId="13" xfId="0" applyBorder="1" applyAlignment="1">
      <alignment horizontal="center"/>
    </xf>
    <xf numFmtId="0" fontId="11" fillId="0" borderId="5" xfId="0" applyFont="1" applyBorder="1" applyAlignment="1">
      <alignment horizontal="center" vertical="center"/>
    </xf>
    <xf numFmtId="0" fontId="18" fillId="0" borderId="7"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vertical="center"/>
    </xf>
    <xf numFmtId="0" fontId="18" fillId="0" borderId="12" xfId="0" applyFont="1" applyBorder="1" applyAlignment="1">
      <alignment horizontal="center" vertical="center"/>
    </xf>
    <xf numFmtId="0" fontId="23" fillId="0" borderId="13" xfId="14" applyFont="1" applyBorder="1" applyAlignment="1">
      <alignment horizontal="center" vertical="center" wrapText="1"/>
    </xf>
    <xf numFmtId="0" fontId="23" fillId="0" borderId="13" xfId="10" applyFont="1" applyBorder="1" applyAlignment="1">
      <alignment horizontal="center" vertical="center" wrapText="1"/>
    </xf>
    <xf numFmtId="16" fontId="23" fillId="0" borderId="13" xfId="10" applyNumberFormat="1" applyFont="1" applyBorder="1" applyAlignment="1">
      <alignment horizontal="center" vertical="center" wrapText="1"/>
    </xf>
    <xf numFmtId="0" fontId="18" fillId="0" borderId="13" xfId="10" applyFont="1" applyBorder="1" applyAlignment="1">
      <alignment horizontal="left" vertical="center" wrapText="1"/>
    </xf>
    <xf numFmtId="2" fontId="23" fillId="6" borderId="13" xfId="10" applyNumberFormat="1" applyFont="1" applyFill="1" applyBorder="1" applyAlignment="1">
      <alignment vertical="center"/>
    </xf>
    <xf numFmtId="0" fontId="23" fillId="0" borderId="13" xfId="10" applyFont="1" applyBorder="1" applyAlignment="1">
      <alignment horizontal="right" vertical="center"/>
    </xf>
    <xf numFmtId="2" fontId="27" fillId="0" borderId="13" xfId="10" applyNumberFormat="1" applyFont="1" applyBorder="1" applyAlignment="1">
      <alignment vertical="center"/>
    </xf>
    <xf numFmtId="0" fontId="27" fillId="0" borderId="13" xfId="10" applyFont="1" applyBorder="1" applyAlignment="1">
      <alignment vertical="center"/>
    </xf>
    <xf numFmtId="0" fontId="18" fillId="0" borderId="13" xfId="10" applyFont="1" applyBorder="1" applyAlignment="1">
      <alignment vertical="center"/>
    </xf>
    <xf numFmtId="0" fontId="23" fillId="0" borderId="13" xfId="10" applyFont="1" applyBorder="1" applyAlignment="1">
      <alignment horizontal="center" vertical="center"/>
    </xf>
    <xf numFmtId="0" fontId="18" fillId="0" borderId="0" xfId="14" applyFont="1" applyAlignment="1">
      <alignment horizontal="centerContinuous" vertical="center"/>
    </xf>
    <xf numFmtId="0" fontId="18" fillId="0" borderId="13" xfId="14" quotePrefix="1" applyFont="1" applyBorder="1" applyAlignment="1">
      <alignment horizontal="center" vertical="center" wrapText="1"/>
    </xf>
    <xf numFmtId="0" fontId="18" fillId="0" borderId="13" xfId="14" applyFont="1" applyBorder="1" applyAlignment="1">
      <alignment horizontal="center" vertical="center" wrapText="1"/>
    </xf>
    <xf numFmtId="0" fontId="18" fillId="0" borderId="13" xfId="14" applyFont="1" applyBorder="1" applyAlignment="1">
      <alignment horizontal="left" vertical="center" wrapText="1"/>
    </xf>
    <xf numFmtId="0" fontId="26" fillId="0" borderId="13" xfId="10" applyFont="1" applyBorder="1" applyAlignment="1">
      <alignment vertical="center"/>
    </xf>
    <xf numFmtId="0" fontId="26" fillId="0" borderId="0" xfId="10" applyFont="1" applyAlignment="1">
      <alignment vertical="center"/>
    </xf>
    <xf numFmtId="0" fontId="18" fillId="0" borderId="13" xfId="14" applyFont="1" applyBorder="1" applyAlignment="1">
      <alignment vertical="center" wrapText="1"/>
    </xf>
    <xf numFmtId="169" fontId="26" fillId="0" borderId="13" xfId="10" applyNumberFormat="1" applyFont="1" applyBorder="1" applyAlignment="1">
      <alignment vertical="center"/>
    </xf>
    <xf numFmtId="0" fontId="18" fillId="0" borderId="0" xfId="14" quotePrefix="1" applyFont="1" applyAlignment="1">
      <alignment horizontal="center" vertical="center" wrapText="1"/>
    </xf>
    <xf numFmtId="0" fontId="18" fillId="0" borderId="0" xfId="10" applyFont="1" applyAlignment="1">
      <alignment horizontal="center" vertical="center" wrapText="1"/>
    </xf>
    <xf numFmtId="0" fontId="18" fillId="0" borderId="0" xfId="10" applyFont="1" applyAlignment="1">
      <alignment horizontal="justify" vertical="center" wrapText="1"/>
    </xf>
    <xf numFmtId="164" fontId="2" fillId="0" borderId="13" xfId="70" applyFont="1" applyBorder="1"/>
    <xf numFmtId="164" fontId="2" fillId="0" borderId="13" xfId="462" applyNumberFormat="1" applyBorder="1"/>
    <xf numFmtId="164" fontId="2" fillId="0" borderId="13" xfId="465" applyNumberFormat="1" applyBorder="1"/>
    <xf numFmtId="164" fontId="2" fillId="0" borderId="13" xfId="466" applyNumberFormat="1" applyBorder="1"/>
    <xf numFmtId="164" fontId="39" fillId="0" borderId="13" xfId="466" applyNumberFormat="1" applyFont="1" applyBorder="1"/>
    <xf numFmtId="0" fontId="23" fillId="4" borderId="13" xfId="67" applyFont="1" applyFill="1" applyBorder="1" applyAlignment="1">
      <alignment horizontal="center" vertical="center" wrapText="1"/>
    </xf>
    <xf numFmtId="0" fontId="18" fillId="4" borderId="13" xfId="67" applyFont="1" applyFill="1" applyBorder="1" applyAlignment="1">
      <alignment horizontal="center" vertical="center"/>
    </xf>
    <xf numFmtId="0" fontId="18" fillId="4" borderId="13" xfId="67" applyFont="1" applyFill="1" applyBorder="1" applyAlignment="1">
      <alignment horizontal="left" vertical="center"/>
    </xf>
    <xf numFmtId="0" fontId="18" fillId="4" borderId="13" xfId="67" applyFont="1" applyFill="1" applyBorder="1" applyAlignment="1">
      <alignment horizontal="right" vertical="center"/>
    </xf>
    <xf numFmtId="0" fontId="18" fillId="0" borderId="13" xfId="0" applyFont="1" applyBorder="1"/>
    <xf numFmtId="164" fontId="26" fillId="0" borderId="13" xfId="70" applyFont="1" applyBorder="1"/>
    <xf numFmtId="164" fontId="18" fillId="0" borderId="13" xfId="70" applyFont="1" applyBorder="1"/>
    <xf numFmtId="10" fontId="26" fillId="0" borderId="13" xfId="0" applyNumberFormat="1" applyFont="1" applyBorder="1"/>
    <xf numFmtId="164" fontId="26" fillId="0" borderId="13" xfId="70" applyFont="1" applyBorder="1" applyAlignment="1">
      <alignment horizontal="right"/>
    </xf>
    <xf numFmtId="0" fontId="23" fillId="4" borderId="13" xfId="67" applyFont="1" applyFill="1" applyBorder="1" applyAlignment="1">
      <alignment horizontal="right" vertical="center"/>
    </xf>
    <xf numFmtId="10" fontId="23" fillId="6" borderId="13" xfId="67" applyNumberFormat="1" applyFont="1" applyFill="1" applyBorder="1" applyAlignment="1">
      <alignment horizontal="right" vertical="center"/>
    </xf>
    <xf numFmtId="2" fontId="23" fillId="6" borderId="13" xfId="19" applyNumberFormat="1" applyFont="1" applyFill="1" applyBorder="1" applyAlignment="1">
      <alignment horizontal="right" vertical="center"/>
    </xf>
    <xf numFmtId="0" fontId="23" fillId="4" borderId="13" xfId="67" applyFont="1" applyFill="1" applyBorder="1" applyAlignment="1">
      <alignment horizontal="center" vertical="center"/>
    </xf>
    <xf numFmtId="10" fontId="23" fillId="6" borderId="13" xfId="67" applyNumberFormat="1" applyFont="1" applyFill="1" applyBorder="1" applyAlignment="1">
      <alignment horizontal="center" vertical="center"/>
    </xf>
    <xf numFmtId="2" fontId="23" fillId="6" borderId="13" xfId="19" applyNumberFormat="1" applyFont="1" applyFill="1" applyBorder="1" applyAlignment="1">
      <alignment horizontal="center" vertical="center"/>
    </xf>
    <xf numFmtId="164" fontId="18" fillId="0" borderId="13" xfId="14" applyNumberFormat="1" applyFont="1" applyBorder="1">
      <alignment vertical="center"/>
    </xf>
    <xf numFmtId="0" fontId="26" fillId="0" borderId="13" xfId="14" applyFont="1" applyBorder="1" applyAlignment="1">
      <alignment vertical="center" wrapText="1"/>
    </xf>
    <xf numFmtId="0" fontId="27" fillId="0" borderId="13" xfId="14" applyFont="1" applyBorder="1" applyAlignment="1">
      <alignment vertical="center" wrapText="1"/>
    </xf>
    <xf numFmtId="2" fontId="38" fillId="0" borderId="13" xfId="0" applyNumberFormat="1" applyFont="1" applyBorder="1"/>
    <xf numFmtId="2" fontId="27" fillId="0" borderId="13" xfId="14" applyNumberFormat="1" applyFont="1" applyBorder="1" applyAlignment="1">
      <alignment vertical="center" wrapText="1"/>
    </xf>
    <xf numFmtId="2" fontId="38" fillId="0" borderId="0" xfId="0" applyNumberFormat="1" applyFont="1"/>
    <xf numFmtId="169" fontId="38" fillId="0" borderId="13" xfId="0" applyNumberFormat="1" applyFont="1" applyBorder="1"/>
    <xf numFmtId="2" fontId="26" fillId="0" borderId="13" xfId="14" applyNumberFormat="1" applyFont="1" applyBorder="1" applyAlignment="1">
      <alignment vertical="center" wrapText="1"/>
    </xf>
    <xf numFmtId="0" fontId="23" fillId="0" borderId="6" xfId="14" applyFont="1" applyBorder="1" applyAlignment="1">
      <alignment horizontal="center" vertical="center" wrapText="1"/>
    </xf>
    <xf numFmtId="0" fontId="18" fillId="0" borderId="0" xfId="10" applyFont="1" applyAlignment="1">
      <alignment vertical="center" wrapText="1"/>
    </xf>
    <xf numFmtId="0" fontId="18" fillId="8" borderId="13" xfId="10" applyFont="1" applyFill="1" applyBorder="1" applyAlignment="1">
      <alignment vertical="center"/>
    </xf>
    <xf numFmtId="2" fontId="18" fillId="8" borderId="13" xfId="10" applyNumberFormat="1" applyFont="1" applyFill="1" applyBorder="1" applyAlignment="1">
      <alignment vertical="center"/>
    </xf>
    <xf numFmtId="0" fontId="18" fillId="8" borderId="4" xfId="10" applyFont="1" applyFill="1" applyBorder="1" applyAlignment="1">
      <alignment vertical="center"/>
    </xf>
    <xf numFmtId="2" fontId="23" fillId="8" borderId="4" xfId="10" applyNumberFormat="1" applyFont="1" applyFill="1" applyBorder="1" applyAlignment="1">
      <alignment vertical="center"/>
    </xf>
    <xf numFmtId="2" fontId="18" fillId="8" borderId="4" xfId="10" applyNumberFormat="1" applyFont="1" applyFill="1" applyBorder="1" applyAlignment="1">
      <alignment vertical="center"/>
    </xf>
    <xf numFmtId="0" fontId="18" fillId="8" borderId="4" xfId="10" applyFont="1" applyFill="1" applyBorder="1" applyAlignment="1">
      <alignment horizontal="center" vertical="center"/>
    </xf>
    <xf numFmtId="0" fontId="18" fillId="0" borderId="13" xfId="10" applyFont="1" applyBorder="1" applyAlignment="1">
      <alignment vertical="center" wrapText="1"/>
    </xf>
    <xf numFmtId="170" fontId="35" fillId="8" borderId="13" xfId="10" applyNumberFormat="1" applyFont="1" applyFill="1" applyBorder="1" applyAlignment="1">
      <alignment horizontal="right" vertical="center"/>
    </xf>
    <xf numFmtId="0" fontId="23" fillId="0" borderId="0" xfId="10" applyFont="1" applyAlignment="1">
      <alignment horizontal="center" vertical="center"/>
    </xf>
    <xf numFmtId="0" fontId="23" fillId="0" borderId="0" xfId="10" applyFont="1" applyAlignment="1">
      <alignment horizontal="left" vertical="center"/>
    </xf>
    <xf numFmtId="0" fontId="23" fillId="0" borderId="13" xfId="14" applyFont="1" applyBorder="1" applyAlignment="1">
      <alignment horizontal="center" vertical="center" wrapText="1"/>
    </xf>
    <xf numFmtId="0" fontId="18" fillId="0" borderId="13" xfId="10" applyFont="1" applyBorder="1" applyAlignment="1">
      <alignment horizontal="center" vertical="center" wrapText="1"/>
    </xf>
    <xf numFmtId="0" fontId="15" fillId="0" borderId="0" xfId="14" applyFont="1" applyAlignment="1">
      <alignment horizontal="center" vertical="center"/>
    </xf>
    <xf numFmtId="0" fontId="10" fillId="0" borderId="0" xfId="10" applyFont="1" applyAlignment="1">
      <alignment horizontal="center" vertical="center"/>
    </xf>
    <xf numFmtId="0" fontId="15" fillId="0" borderId="0" xfId="10" applyFont="1" applyAlignment="1">
      <alignment horizontal="center" vertical="center" wrapText="1"/>
    </xf>
    <xf numFmtId="0" fontId="10" fillId="0" borderId="0" xfId="10" applyFont="1" applyAlignment="1">
      <alignment horizontal="center" vertical="center" wrapText="1"/>
    </xf>
    <xf numFmtId="0" fontId="23" fillId="0" borderId="0" xfId="10" applyFont="1" applyAlignment="1">
      <alignment horizontal="center" vertical="center"/>
    </xf>
    <xf numFmtId="0" fontId="23" fillId="0" borderId="8" xfId="14" applyFont="1" applyBorder="1" applyAlignment="1">
      <alignment horizontal="center" vertical="center"/>
    </xf>
    <xf numFmtId="0" fontId="23" fillId="0" borderId="10" xfId="14" applyFont="1" applyBorder="1" applyAlignment="1">
      <alignment horizontal="center" vertical="center"/>
    </xf>
    <xf numFmtId="0" fontId="23" fillId="0" borderId="7" xfId="14" applyFont="1" applyBorder="1" applyAlignment="1">
      <alignment horizontal="center" vertical="center"/>
    </xf>
    <xf numFmtId="0" fontId="23" fillId="0" borderId="8" xfId="14" applyFont="1" applyBorder="1" applyAlignment="1">
      <alignment horizontal="center" vertical="center" wrapText="1"/>
    </xf>
    <xf numFmtId="0" fontId="23" fillId="0" borderId="10" xfId="14" applyFont="1" applyBorder="1" applyAlignment="1">
      <alignment horizontal="center" vertical="center" wrapText="1"/>
    </xf>
    <xf numFmtId="0" fontId="18" fillId="0" borderId="7" xfId="10" applyFont="1" applyBorder="1" applyAlignment="1">
      <alignment horizontal="center" vertical="center" wrapText="1"/>
    </xf>
    <xf numFmtId="0" fontId="23" fillId="0" borderId="4" xfId="14" applyFont="1" applyBorder="1" applyAlignment="1">
      <alignment horizontal="center" vertical="center"/>
    </xf>
    <xf numFmtId="0" fontId="18" fillId="0" borderId="4" xfId="10" applyFont="1" applyBorder="1" applyAlignment="1">
      <alignment horizontal="center" vertical="center"/>
    </xf>
    <xf numFmtId="0" fontId="23" fillId="0" borderId="4" xfId="14" applyFont="1" applyBorder="1" applyAlignment="1">
      <alignment horizontal="center" vertical="center" wrapText="1"/>
    </xf>
    <xf numFmtId="0" fontId="18" fillId="0" borderId="4" xfId="10" applyFont="1" applyBorder="1" applyAlignment="1">
      <alignment horizontal="center" vertical="center" wrapText="1"/>
    </xf>
    <xf numFmtId="0" fontId="23" fillId="0" borderId="6" xfId="14" applyFont="1" applyBorder="1" applyAlignment="1">
      <alignment horizontal="center" vertical="center" wrapText="1"/>
    </xf>
    <xf numFmtId="0" fontId="23" fillId="0" borderId="3" xfId="14" applyFont="1" applyBorder="1" applyAlignment="1">
      <alignment horizontal="center" vertical="center" wrapText="1"/>
    </xf>
    <xf numFmtId="0" fontId="23" fillId="0" borderId="9" xfId="14" applyFont="1" applyBorder="1" applyAlignment="1">
      <alignment horizontal="center" vertical="center" wrapText="1"/>
    </xf>
    <xf numFmtId="0" fontId="23" fillId="0" borderId="0" xfId="10" applyFont="1" applyAlignment="1">
      <alignment horizontal="left" vertical="center"/>
    </xf>
    <xf numFmtId="0" fontId="23" fillId="0" borderId="4"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10" xfId="10" applyFont="1" applyBorder="1" applyAlignment="1">
      <alignment horizontal="center" vertical="center" wrapText="1"/>
    </xf>
    <xf numFmtId="0" fontId="23" fillId="0" borderId="7" xfId="10" applyFont="1" applyBorder="1" applyAlignment="1">
      <alignment horizontal="center" vertical="center" wrapText="1"/>
    </xf>
    <xf numFmtId="0" fontId="18" fillId="0" borderId="4" xfId="10" applyFont="1" applyBorder="1" applyAlignment="1">
      <alignment vertical="center"/>
    </xf>
    <xf numFmtId="0" fontId="23" fillId="0" borderId="4" xfId="10" applyFont="1" applyBorder="1" applyAlignment="1">
      <alignment horizontal="center" vertical="center"/>
    </xf>
    <xf numFmtId="0" fontId="23" fillId="4" borderId="13" xfId="67" applyFont="1" applyFill="1" applyBorder="1" applyAlignment="1">
      <alignment horizontal="center" vertical="center"/>
    </xf>
    <xf numFmtId="0" fontId="23" fillId="4" borderId="13" xfId="67" applyFont="1" applyFill="1" applyBorder="1" applyAlignment="1">
      <alignment horizontal="center" vertical="center" wrapText="1"/>
    </xf>
    <xf numFmtId="0" fontId="23" fillId="4" borderId="13" xfId="67" quotePrefix="1" applyFont="1" applyFill="1" applyBorder="1" applyAlignment="1">
      <alignment horizontal="center" vertical="center" wrapText="1"/>
    </xf>
    <xf numFmtId="0" fontId="23" fillId="0" borderId="3" xfId="10" applyFont="1" applyBorder="1" applyAlignment="1">
      <alignment horizontal="center" vertical="center"/>
    </xf>
    <xf numFmtId="0" fontId="23" fillId="0" borderId="9" xfId="10" applyFont="1" applyBorder="1" applyAlignment="1">
      <alignment horizontal="center" vertical="center"/>
    </xf>
    <xf numFmtId="0" fontId="11" fillId="0" borderId="4" xfId="10" applyBorder="1" applyAlignment="1">
      <alignment horizontal="center" vertical="center" wrapText="1"/>
    </xf>
    <xf numFmtId="0" fontId="11" fillId="0" borderId="4" xfId="10" applyBorder="1" applyAlignment="1">
      <alignment horizontal="center" vertical="center"/>
    </xf>
    <xf numFmtId="0" fontId="23" fillId="0" borderId="13" xfId="14" applyFont="1" applyBorder="1" applyAlignment="1">
      <alignment horizontal="center" vertical="center" wrapText="1"/>
    </xf>
    <xf numFmtId="0" fontId="18" fillId="0" borderId="13" xfId="10" applyFont="1" applyBorder="1" applyAlignment="1">
      <alignment horizontal="center" vertical="center" wrapText="1"/>
    </xf>
    <xf numFmtId="0" fontId="23" fillId="0" borderId="13" xfId="14" quotePrefix="1" applyFont="1" applyBorder="1" applyAlignment="1">
      <alignment horizontal="center" vertical="center" wrapText="1"/>
    </xf>
    <xf numFmtId="0" fontId="23" fillId="0" borderId="13" xfId="0" applyFont="1" applyBorder="1" applyAlignment="1">
      <alignment horizontal="center" vertical="center"/>
    </xf>
    <xf numFmtId="0" fontId="37" fillId="0" borderId="0" xfId="14" applyFont="1" applyAlignment="1">
      <alignment horizontal="center" vertical="center"/>
    </xf>
    <xf numFmtId="0" fontId="37" fillId="0" borderId="0" xfId="10" applyFont="1" applyAlignment="1">
      <alignment horizontal="center" vertical="center"/>
    </xf>
    <xf numFmtId="17" fontId="23" fillId="0" borderId="13" xfId="0" applyNumberFormat="1" applyFont="1" applyBorder="1" applyAlignment="1">
      <alignment horizontal="center" vertical="center"/>
    </xf>
    <xf numFmtId="2" fontId="0" fillId="0" borderId="6" xfId="0" applyNumberFormat="1" applyBorder="1" applyAlignment="1">
      <alignment horizontal="center"/>
    </xf>
    <xf numFmtId="2" fontId="0" fillId="0" borderId="9" xfId="0" applyNumberFormat="1" applyBorder="1" applyAlignment="1">
      <alignment horizontal="center"/>
    </xf>
    <xf numFmtId="1" fontId="11" fillId="0" borderId="13" xfId="0" applyNumberFormat="1" applyFont="1" applyBorder="1" applyAlignment="1">
      <alignment horizontal="center" vertical="center"/>
    </xf>
    <xf numFmtId="0" fontId="23" fillId="0" borderId="4" xfId="0" applyFont="1" applyBorder="1" applyAlignment="1">
      <alignment horizontal="center" vertical="center"/>
    </xf>
    <xf numFmtId="0" fontId="23" fillId="0" borderId="6" xfId="10" applyFont="1" applyBorder="1" applyAlignment="1">
      <alignment horizontal="center" vertical="center"/>
    </xf>
    <xf numFmtId="0" fontId="23" fillId="0" borderId="0" xfId="14" applyFont="1" applyAlignment="1">
      <alignment horizontal="center" vertical="center"/>
    </xf>
    <xf numFmtId="0" fontId="18" fillId="0" borderId="13" xfId="10" applyFont="1" applyBorder="1" applyAlignment="1">
      <alignment horizontal="center" vertical="center"/>
    </xf>
    <xf numFmtId="0" fontId="23" fillId="0" borderId="13" xfId="10" applyFont="1" applyBorder="1" applyAlignment="1">
      <alignment horizontal="left" vertical="center" wrapText="1"/>
    </xf>
    <xf numFmtId="0" fontId="23" fillId="0" borderId="13" xfId="10" applyFont="1" applyBorder="1" applyAlignment="1">
      <alignment horizontal="left" vertical="center"/>
    </xf>
    <xf numFmtId="0" fontId="41" fillId="0" borderId="13" xfId="202" applyFont="1" applyBorder="1" applyAlignment="1">
      <alignment horizontal="left" vertical="center" wrapText="1"/>
    </xf>
    <xf numFmtId="2" fontId="27" fillId="0" borderId="13" xfId="203" applyNumberFormat="1" applyFont="1" applyBorder="1" applyAlignment="1">
      <alignment horizontal="center" vertical="center" wrapText="1"/>
    </xf>
    <xf numFmtId="2" fontId="27" fillId="0" borderId="13" xfId="205" applyNumberFormat="1" applyFont="1" applyBorder="1" applyAlignment="1">
      <alignment horizontal="center" vertical="center" wrapText="1"/>
    </xf>
    <xf numFmtId="2" fontId="27" fillId="0" borderId="13" xfId="206" applyNumberFormat="1" applyFont="1" applyBorder="1" applyAlignment="1">
      <alignment horizontal="center" vertical="center" wrapText="1"/>
    </xf>
    <xf numFmtId="0" fontId="10" fillId="0" borderId="13" xfId="10" applyFont="1" applyBorder="1" applyAlignment="1">
      <alignment horizontal="left" vertical="top" wrapText="1"/>
    </xf>
    <xf numFmtId="0" fontId="10" fillId="0" borderId="13" xfId="10" applyFont="1" applyBorder="1" applyAlignment="1">
      <alignment vertical="center" wrapText="1"/>
    </xf>
    <xf numFmtId="0" fontId="10" fillId="0" borderId="13" xfId="10" applyFont="1" applyBorder="1" applyAlignment="1">
      <alignment vertical="center"/>
    </xf>
    <xf numFmtId="2" fontId="23" fillId="0" borderId="13" xfId="10" applyNumberFormat="1" applyFont="1" applyBorder="1" applyAlignment="1">
      <alignment horizontal="center" vertical="center"/>
    </xf>
    <xf numFmtId="0" fontId="10" fillId="0" borderId="0" xfId="10" applyFont="1" applyAlignment="1">
      <alignment vertical="center" wrapText="1"/>
    </xf>
    <xf numFmtId="0" fontId="41" fillId="0" borderId="13" xfId="210" applyFont="1" applyFill="1" applyBorder="1" applyAlignment="1">
      <alignment horizontal="left" vertical="center" wrapText="1"/>
    </xf>
    <xf numFmtId="2" fontId="27" fillId="0" borderId="13" xfId="214" applyNumberFormat="1" applyFont="1" applyBorder="1" applyAlignment="1">
      <alignment horizontal="center" vertical="center" wrapText="1"/>
    </xf>
    <xf numFmtId="0" fontId="38" fillId="0" borderId="13" xfId="219" applyFont="1" applyFill="1" applyBorder="1" applyAlignment="1">
      <alignment wrapText="1"/>
    </xf>
    <xf numFmtId="0" fontId="10" fillId="0" borderId="13" xfId="10" applyFont="1" applyBorder="1" applyAlignment="1">
      <alignment horizontal="center" vertical="center" wrapText="1"/>
    </xf>
    <xf numFmtId="0" fontId="10" fillId="0" borderId="13" xfId="216" applyFont="1" applyFill="1" applyBorder="1" applyAlignment="1">
      <alignment horizontal="left" vertical="top" wrapText="1"/>
    </xf>
    <xf numFmtId="0" fontId="38" fillId="0" borderId="13" xfId="219" applyFont="1" applyFill="1" applyBorder="1" applyAlignment="1">
      <alignment horizontal="left" vertical="top" wrapText="1"/>
    </xf>
    <xf numFmtId="2" fontId="27" fillId="0" borderId="13" xfId="215" applyNumberFormat="1" applyFont="1" applyBorder="1" applyAlignment="1">
      <alignment horizontal="center" vertical="center" wrapText="1"/>
    </xf>
    <xf numFmtId="0" fontId="38" fillId="0" borderId="13" xfId="220" applyFont="1" applyFill="1" applyBorder="1" applyAlignment="1">
      <alignment horizontal="center" vertical="center" wrapText="1"/>
    </xf>
    <xf numFmtId="0" fontId="10" fillId="0" borderId="0" xfId="10" applyFont="1" applyAlignment="1">
      <alignment vertical="center"/>
    </xf>
  </cellXfs>
  <cellStyles count="470">
    <cellStyle name="Body" xfId="1"/>
    <cellStyle name="Comma" xfId="70" builtinId="3"/>
    <cellStyle name="Comma  - Style1" xfId="2"/>
    <cellStyle name="Comma 10" xfId="94"/>
    <cellStyle name="Comma 10 2" xfId="95"/>
    <cellStyle name="Comma 10 3" xfId="251"/>
    <cellStyle name="Comma 10 4" xfId="264"/>
    <cellStyle name="Comma 11" xfId="96"/>
    <cellStyle name="Comma 11 2" xfId="19"/>
    <cellStyle name="Comma 11 2 10" xfId="435"/>
    <cellStyle name="Comma 11 2 2" xfId="97"/>
    <cellStyle name="Comma 11 2 2 2" xfId="98"/>
    <cellStyle name="Comma 11 2 2 3" xfId="92"/>
    <cellStyle name="Comma 11 2 2 4" xfId="347"/>
    <cellStyle name="Comma 11 2 2 5" xfId="366"/>
    <cellStyle name="Comma 11 2 2 6" xfId="384"/>
    <cellStyle name="Comma 11 2 2 7" xfId="400"/>
    <cellStyle name="Comma 11 2 2 8" xfId="416"/>
    <cellStyle name="Comma 11 2 3" xfId="208"/>
    <cellStyle name="Comma 11 2 4" xfId="348"/>
    <cellStyle name="Comma 11 2 5" xfId="357"/>
    <cellStyle name="Comma 11 2 6" xfId="375"/>
    <cellStyle name="Comma 11 2 7" xfId="393"/>
    <cellStyle name="Comma 11 2 8" xfId="409"/>
    <cellStyle name="Comma 11 2 9" xfId="71"/>
    <cellStyle name="Comma 11 2_F2.1" xfId="459"/>
    <cellStyle name="Comma 12" xfId="99"/>
    <cellStyle name="Comma 13" xfId="100"/>
    <cellStyle name="Comma 14" xfId="101"/>
    <cellStyle name="Comma 15" xfId="102"/>
    <cellStyle name="Comma 15 2" xfId="103"/>
    <cellStyle name="Comma 15 2 2" xfId="104"/>
    <cellStyle name="Comma 15 2 2 2" xfId="105"/>
    <cellStyle name="Comma 15 2 2 3" xfId="248"/>
    <cellStyle name="Comma 15 2 2 4" xfId="261"/>
    <cellStyle name="Comma 15 2 3" xfId="106"/>
    <cellStyle name="Comma 15 2 4" xfId="107"/>
    <cellStyle name="Comma 15 2 5" xfId="108"/>
    <cellStyle name="Comma 15 2 6" xfId="109"/>
    <cellStyle name="Comma 15 2 7" xfId="110"/>
    <cellStyle name="Comma 15 2 8" xfId="111"/>
    <cellStyle name="Comma 15 3" xfId="112"/>
    <cellStyle name="Comma 15 4" xfId="113"/>
    <cellStyle name="Comma 15 5" xfId="114"/>
    <cellStyle name="Comma 15 6" xfId="115"/>
    <cellStyle name="Comma 15 7" xfId="116"/>
    <cellStyle name="Comma 15 8" xfId="117"/>
    <cellStyle name="Comma 16" xfId="118"/>
    <cellStyle name="Comma 16 2" xfId="119"/>
    <cellStyle name="Comma 16 3" xfId="120"/>
    <cellStyle name="Comma 16 4" xfId="121"/>
    <cellStyle name="Comma 16 5" xfId="122"/>
    <cellStyle name="Comma 16 6" xfId="123"/>
    <cellStyle name="Comma 16 7" xfId="124"/>
    <cellStyle name="Comma 16 8" xfId="125"/>
    <cellStyle name="Comma 17" xfId="126"/>
    <cellStyle name="Comma 18" xfId="127"/>
    <cellStyle name="Comma 18 2" xfId="128"/>
    <cellStyle name="Comma 18 2 2" xfId="129"/>
    <cellStyle name="Comma 19" xfId="130"/>
    <cellStyle name="Comma 2" xfId="24"/>
    <cellStyle name="Comma 2 10" xfId="247"/>
    <cellStyle name="Comma 2 11" xfId="260"/>
    <cellStyle name="Comma 2 12" xfId="285"/>
    <cellStyle name="Comma 2 13" xfId="327"/>
    <cellStyle name="Comma 2 14" xfId="280"/>
    <cellStyle name="Comma 2 15" xfId="367"/>
    <cellStyle name="Comma 2 16" xfId="385"/>
    <cellStyle name="Comma 2 17" xfId="401"/>
    <cellStyle name="Comma 2 18" xfId="72"/>
    <cellStyle name="Comma 2 2" xfId="25"/>
    <cellStyle name="Comma 2 2 10" xfId="325"/>
    <cellStyle name="Comma 2 2 11" xfId="282"/>
    <cellStyle name="Comma 2 2 12" xfId="331"/>
    <cellStyle name="Comma 2 2 13" xfId="276"/>
    <cellStyle name="Comma 2 2 14" xfId="336"/>
    <cellStyle name="Comma 2 2 15" xfId="73"/>
    <cellStyle name="Comma 2 2 2" xfId="62"/>
    <cellStyle name="Comma 2 2 2 2" xfId="133"/>
    <cellStyle name="Comma 2 2 2 3" xfId="287"/>
    <cellStyle name="Comma 2 2 2 4" xfId="324"/>
    <cellStyle name="Comma 2 2 2 5" xfId="283"/>
    <cellStyle name="Comma 2 2 2 6" xfId="330"/>
    <cellStyle name="Comma 2 2 2 7" xfId="277"/>
    <cellStyle name="Comma 2 2 2 8" xfId="334"/>
    <cellStyle name="Comma 2 2 3" xfId="132"/>
    <cellStyle name="Comma 2 2 4" xfId="135"/>
    <cellStyle name="Comma 2 2 5" xfId="136"/>
    <cellStyle name="Comma 2 2 6" xfId="137"/>
    <cellStyle name="Comma 2 2 7" xfId="138"/>
    <cellStyle name="Comma 2 2 8" xfId="139"/>
    <cellStyle name="Comma 2 2 9" xfId="286"/>
    <cellStyle name="Comma 2 2_F2.3" xfId="467"/>
    <cellStyle name="Comma 2 3" xfId="26"/>
    <cellStyle name="Comma 2 3 2" xfId="140"/>
    <cellStyle name="Comma 2 3 3" xfId="295"/>
    <cellStyle name="Comma 2 3 4" xfId="312"/>
    <cellStyle name="Comma 2 3 5" xfId="298"/>
    <cellStyle name="Comma 2 3 6" xfId="311"/>
    <cellStyle name="Comma 2 3 7" xfId="299"/>
    <cellStyle name="Comma 2 3 8" xfId="310"/>
    <cellStyle name="Comma 2 3 9" xfId="74"/>
    <cellStyle name="Comma 2 4" xfId="55"/>
    <cellStyle name="Comma 2 4 2" xfId="141"/>
    <cellStyle name="Comma 2 4 3" xfId="296"/>
    <cellStyle name="Comma 2 4 4" xfId="365"/>
    <cellStyle name="Comma 2 4 5" xfId="383"/>
    <cellStyle name="Comma 2 4 6" xfId="399"/>
    <cellStyle name="Comma 2 4 7" xfId="415"/>
    <cellStyle name="Comma 2 4 8" xfId="428"/>
    <cellStyle name="Comma 2 5" xfId="131"/>
    <cellStyle name="Comma 2 6" xfId="143"/>
    <cellStyle name="Comma 2 7" xfId="144"/>
    <cellStyle name="Comma 2 8" xfId="145"/>
    <cellStyle name="Comma 2 9" xfId="146"/>
    <cellStyle name="Comma 2_F2.1" xfId="460"/>
    <cellStyle name="Comma 20" xfId="147"/>
    <cellStyle name="Comma 21" xfId="148"/>
    <cellStyle name="Comma 22" xfId="149"/>
    <cellStyle name="Comma 23" xfId="150"/>
    <cellStyle name="Comma 24" xfId="151"/>
    <cellStyle name="Comma 25" xfId="152"/>
    <cellStyle name="Comma 26" xfId="153"/>
    <cellStyle name="Comma 27" xfId="154"/>
    <cellStyle name="Comma 28" xfId="155"/>
    <cellStyle name="Comma 29" xfId="156"/>
    <cellStyle name="Comma 3" xfId="27"/>
    <cellStyle name="Comma 3 10" xfId="75"/>
    <cellStyle name="Comma 3 2" xfId="61"/>
    <cellStyle name="Comma 3 2 2" xfId="76"/>
    <cellStyle name="Comma 3 2 3" xfId="436"/>
    <cellStyle name="Comma 3 2_F2.3" xfId="468"/>
    <cellStyle name="Comma 3 3" xfId="157"/>
    <cellStyle name="Comma 3 4" xfId="301"/>
    <cellStyle name="Comma 3 5" xfId="361"/>
    <cellStyle name="Comma 3 6" xfId="379"/>
    <cellStyle name="Comma 3 7" xfId="396"/>
    <cellStyle name="Comma 3 8" xfId="412"/>
    <cellStyle name="Comma 3 9" xfId="426"/>
    <cellStyle name="Comma 3_F2.1" xfId="461"/>
    <cellStyle name="Comma 30" xfId="158"/>
    <cellStyle name="Comma 31" xfId="159"/>
    <cellStyle name="Comma 32" xfId="160"/>
    <cellStyle name="Comma 33" xfId="161"/>
    <cellStyle name="Comma 34" xfId="162"/>
    <cellStyle name="Comma 35" xfId="163"/>
    <cellStyle name="Comma 36" xfId="164"/>
    <cellStyle name="Comma 37" xfId="165"/>
    <cellStyle name="Comma 38" xfId="249"/>
    <cellStyle name="Comma 39" xfId="254"/>
    <cellStyle name="Comma 4" xfId="28"/>
    <cellStyle name="Comma 4 10" xfId="77"/>
    <cellStyle name="Comma 4 2" xfId="63"/>
    <cellStyle name="Comma 4 2 10" xfId="437"/>
    <cellStyle name="Comma 4 2 2" xfId="167"/>
    <cellStyle name="Comma 4 2 3" xfId="305"/>
    <cellStyle name="Comma 4 2 4" xfId="359"/>
    <cellStyle name="Comma 4 2 5" xfId="377"/>
    <cellStyle name="Comma 4 2 6" xfId="395"/>
    <cellStyle name="Comma 4 2 7" xfId="411"/>
    <cellStyle name="Comma 4 2 8" xfId="425"/>
    <cellStyle name="Comma 4 2 9" xfId="78"/>
    <cellStyle name="Comma 4 3" xfId="168"/>
    <cellStyle name="Comma 4 4" xfId="169"/>
    <cellStyle name="Comma 4 5" xfId="170"/>
    <cellStyle name="Comma 4 6" xfId="171"/>
    <cellStyle name="Comma 4 7" xfId="172"/>
    <cellStyle name="Comma 4 8" xfId="173"/>
    <cellStyle name="Comma 4 9" xfId="174"/>
    <cellStyle name="Comma 4_F2.3" xfId="469"/>
    <cellStyle name="Comma 40" xfId="256"/>
    <cellStyle name="Comma 41" xfId="258"/>
    <cellStyle name="Comma 42" xfId="262"/>
    <cellStyle name="Comma 43" xfId="266"/>
    <cellStyle name="Comma 44" xfId="451"/>
    <cellStyle name="Comma 45" xfId="453"/>
    <cellStyle name="Comma 46" xfId="455"/>
    <cellStyle name="Comma 47" xfId="457"/>
    <cellStyle name="Comma 48" xfId="458"/>
    <cellStyle name="Comma 49" xfId="421"/>
    <cellStyle name="Comma 5" xfId="29"/>
    <cellStyle name="Comma 5 10" xfId="176"/>
    <cellStyle name="Comma 5 11" xfId="308"/>
    <cellStyle name="Comma 5 12" xfId="302"/>
    <cellStyle name="Comma 5 13" xfId="307"/>
    <cellStyle name="Comma 5 14" xfId="303"/>
    <cellStyle name="Comma 5 15" xfId="306"/>
    <cellStyle name="Comma 5 16" xfId="304"/>
    <cellStyle name="Comma 5 17" xfId="79"/>
    <cellStyle name="Comma 5 18" xfId="438"/>
    <cellStyle name="Comma 5 2" xfId="175"/>
    <cellStyle name="Comma 5 2 2" xfId="177"/>
    <cellStyle name="Comma 5 2 3" xfId="309"/>
    <cellStyle name="Comma 5 2 4" xfId="300"/>
    <cellStyle name="Comma 5 2 5" xfId="364"/>
    <cellStyle name="Comma 5 2 6" xfId="382"/>
    <cellStyle name="Comma 5 2 7" xfId="398"/>
    <cellStyle name="Comma 5 2 8" xfId="414"/>
    <cellStyle name="Comma 5 3" xfId="178"/>
    <cellStyle name="Comma 5 3 2" xfId="179"/>
    <cellStyle name="Comma 5 3 3" xfId="180"/>
    <cellStyle name="Comma 5 3 4" xfId="181"/>
    <cellStyle name="Comma 5 3 5" xfId="182"/>
    <cellStyle name="Comma 5 3 6" xfId="183"/>
    <cellStyle name="Comma 5 3 7" xfId="184"/>
    <cellStyle name="Comma 5 3 8" xfId="185"/>
    <cellStyle name="Comma 5 4" xfId="186"/>
    <cellStyle name="Comma 5 4 2" xfId="187"/>
    <cellStyle name="Comma 5 4 2 2" xfId="188"/>
    <cellStyle name="Comma 5 4 2 3" xfId="250"/>
    <cellStyle name="Comma 5 4 2 4" xfId="263"/>
    <cellStyle name="Comma 5 5" xfId="189"/>
    <cellStyle name="Comma 5 6" xfId="190"/>
    <cellStyle name="Comma 5 7" xfId="191"/>
    <cellStyle name="Comma 5 8" xfId="192"/>
    <cellStyle name="Comma 5 9" xfId="193"/>
    <cellStyle name="Comma 6" xfId="47"/>
    <cellStyle name="Comma 6 2" xfId="48"/>
    <cellStyle name="Comma 6 3" xfId="49"/>
    <cellStyle name="Comma 6 4" xfId="50"/>
    <cellStyle name="Comma 6 5" xfId="80"/>
    <cellStyle name="Comma 7" xfId="21"/>
    <cellStyle name="Comma 7 2" xfId="195"/>
    <cellStyle name="Comma 7 3" xfId="317"/>
    <cellStyle name="Comma 7 4" xfId="291"/>
    <cellStyle name="Comma 7 5" xfId="315"/>
    <cellStyle name="Comma 7 6" xfId="293"/>
    <cellStyle name="Comma 7 7" xfId="313"/>
    <cellStyle name="Comma 7 8" xfId="297"/>
    <cellStyle name="Comma 8" xfId="64"/>
    <cellStyle name="Comma 8 10" xfId="439"/>
    <cellStyle name="Comma 8 2" xfId="196"/>
    <cellStyle name="Comma 8 3" xfId="318"/>
    <cellStyle name="Comma 8 4" xfId="290"/>
    <cellStyle name="Comma 8 5" xfId="316"/>
    <cellStyle name="Comma 8 6" xfId="292"/>
    <cellStyle name="Comma 8 7" xfId="314"/>
    <cellStyle name="Comma 8 8" xfId="294"/>
    <cellStyle name="Comma 8 9" xfId="81"/>
    <cellStyle name="Comma 9" xfId="93"/>
    <cellStyle name="Comma 9 2" xfId="197"/>
    <cellStyle name="Comma 9 3" xfId="319"/>
    <cellStyle name="Comma 9 4" xfId="289"/>
    <cellStyle name="Comma 9 5" xfId="320"/>
    <cellStyle name="Comma 9 6" xfId="288"/>
    <cellStyle name="Comma 9 7" xfId="242"/>
    <cellStyle name="Comma 9 8" xfId="353"/>
    <cellStyle name="Curren - Style2" xfId="3"/>
    <cellStyle name="Grey" xfId="4"/>
    <cellStyle name="Header1" xfId="5"/>
    <cellStyle name="Header2" xfId="6"/>
    <cellStyle name="Hyperlink 2" xfId="198"/>
    <cellStyle name="Input [yellow]" xfId="7"/>
    <cellStyle name="no dec" xfId="8"/>
    <cellStyle name="Normal" xfId="0" builtinId="0"/>
    <cellStyle name="Normal - Style1" xfId="9"/>
    <cellStyle name="Normal 10" xfId="66"/>
    <cellStyle name="Normal 10 10" xfId="440"/>
    <cellStyle name="Normal 10 2" xfId="199"/>
    <cellStyle name="Normal 10 3" xfId="321"/>
    <cellStyle name="Normal 10 4" xfId="363"/>
    <cellStyle name="Normal 10 5" xfId="381"/>
    <cellStyle name="Normal 10 6" xfId="397"/>
    <cellStyle name="Normal 10 7" xfId="413"/>
    <cellStyle name="Normal 10 8" xfId="427"/>
    <cellStyle name="Normal 10 9" xfId="82"/>
    <cellStyle name="Normal 11" xfId="68"/>
    <cellStyle name="Normal 11 10" xfId="441"/>
    <cellStyle name="Normal 11 2" xfId="200"/>
    <cellStyle name="Normal 11 3" xfId="322"/>
    <cellStyle name="Normal 11 4" xfId="356"/>
    <cellStyle name="Normal 11 5" xfId="374"/>
    <cellStyle name="Normal 11 6" xfId="392"/>
    <cellStyle name="Normal 11 7" xfId="408"/>
    <cellStyle name="Normal 11 8" xfId="424"/>
    <cellStyle name="Normal 11 9" xfId="83"/>
    <cellStyle name="Normal 12" xfId="69"/>
    <cellStyle name="Normal 12 10" xfId="442"/>
    <cellStyle name="Normal 12 2" xfId="201"/>
    <cellStyle name="Normal 12 3" xfId="323"/>
    <cellStyle name="Normal 12 4" xfId="284"/>
    <cellStyle name="Normal 12 5" xfId="328"/>
    <cellStyle name="Normal 12 6" xfId="279"/>
    <cellStyle name="Normal 12 7" xfId="332"/>
    <cellStyle name="Normal 12 8" xfId="275"/>
    <cellStyle name="Normal 12 9" xfId="84"/>
    <cellStyle name="Normal 13" xfId="202"/>
    <cellStyle name="Normal 14" xfId="203"/>
    <cellStyle name="Normal 14 2" xfId="67"/>
    <cellStyle name="Normal 14 2 2" xfId="85"/>
    <cellStyle name="Normal 14 2 3" xfId="443"/>
    <cellStyle name="Normal 14 2_F2.1" xfId="463"/>
    <cellStyle name="Normal 15" xfId="18"/>
    <cellStyle name="Normal 15 10" xfId="444"/>
    <cellStyle name="Normal 15 2" xfId="204"/>
    <cellStyle name="Normal 15 3" xfId="326"/>
    <cellStyle name="Normal 15 4" xfId="281"/>
    <cellStyle name="Normal 15 5" xfId="358"/>
    <cellStyle name="Normal 15 6" xfId="376"/>
    <cellStyle name="Normal 15 7" xfId="394"/>
    <cellStyle name="Normal 15 8" xfId="410"/>
    <cellStyle name="Normal 15 9" xfId="86"/>
    <cellStyle name="Normal 16" xfId="205"/>
    <cellStyle name="Normal 17" xfId="206"/>
    <cellStyle name="Normal 18" xfId="60"/>
    <cellStyle name="Normal 18 10" xfId="445"/>
    <cellStyle name="Normal 18 2" xfId="207"/>
    <cellStyle name="Normal 18 2 2" xfId="209"/>
    <cellStyle name="Normal 18 2 3" xfId="252"/>
    <cellStyle name="Normal 18 2 4" xfId="265"/>
    <cellStyle name="Normal 18 3" xfId="329"/>
    <cellStyle name="Normal 18 4" xfId="278"/>
    <cellStyle name="Normal 18 5" xfId="333"/>
    <cellStyle name="Normal 18 6" xfId="274"/>
    <cellStyle name="Normal 18 7" xfId="337"/>
    <cellStyle name="Normal 18 8" xfId="272"/>
    <cellStyle name="Normal 18 9" xfId="87"/>
    <cellStyle name="Normal 19" xfId="210"/>
    <cellStyle name="Normal 2" xfId="10"/>
    <cellStyle name="Normal 2 2" xfId="11"/>
    <cellStyle name="Normal 2 2 2" xfId="30"/>
    <cellStyle name="Normal 2 2 2 2" xfId="56"/>
    <cellStyle name="Normal 2 2_F2.1" xfId="464"/>
    <cellStyle name="Normal 2 3" xfId="12"/>
    <cellStyle name="Normal 2 3 2" xfId="213"/>
    <cellStyle name="Normal 2 3 3" xfId="335"/>
    <cellStyle name="Normal 2 3 4" xfId="273"/>
    <cellStyle name="Normal 2 3 5" xfId="338"/>
    <cellStyle name="Normal 2 3 6" xfId="271"/>
    <cellStyle name="Normal 2 3 7" xfId="339"/>
    <cellStyle name="Normal 2 3 8" xfId="270"/>
    <cellStyle name="Normal 2 4" xfId="51"/>
    <cellStyle name="Normal 2_ARR FINAL" xfId="31"/>
    <cellStyle name="Normal 20" xfId="214"/>
    <cellStyle name="Normal 21" xfId="215"/>
    <cellStyle name="Normal 22" xfId="216"/>
    <cellStyle name="Normal 23" xfId="217"/>
    <cellStyle name="Normal 24" xfId="218"/>
    <cellStyle name="Normal 25" xfId="219"/>
    <cellStyle name="Normal 26" xfId="220"/>
    <cellStyle name="Normal 27" xfId="221"/>
    <cellStyle name="Normal 28" xfId="222"/>
    <cellStyle name="Normal 29" xfId="223"/>
    <cellStyle name="Normal 3" xfId="13"/>
    <cellStyle name="Normal 3 10" xfId="269"/>
    <cellStyle name="Normal 3 11" xfId="342"/>
    <cellStyle name="Normal 3 12" xfId="134"/>
    <cellStyle name="Normal 3 13" xfId="360"/>
    <cellStyle name="Normal 3 14" xfId="378"/>
    <cellStyle name="Normal 3 2" xfId="32"/>
    <cellStyle name="Normal 3 2 2" xfId="57"/>
    <cellStyle name="Normal 3 2 3" xfId="225"/>
    <cellStyle name="Normal 3 2 4" xfId="341"/>
    <cellStyle name="Normal 3 2 5" xfId="268"/>
    <cellStyle name="Normal 3 2 6" xfId="343"/>
    <cellStyle name="Normal 3 2 7" xfId="142"/>
    <cellStyle name="Normal 3 2 8" xfId="362"/>
    <cellStyle name="Normal 3 2 9" xfId="380"/>
    <cellStyle name="Normal 3 3" xfId="224"/>
    <cellStyle name="Normal 3 4" xfId="226"/>
    <cellStyle name="Normal 3 5" xfId="227"/>
    <cellStyle name="Normal 3 6" xfId="228"/>
    <cellStyle name="Normal 3 7" xfId="229"/>
    <cellStyle name="Normal 3 8" xfId="230"/>
    <cellStyle name="Normal 3 9" xfId="340"/>
    <cellStyle name="Normal 30" xfId="231"/>
    <cellStyle name="Normal 31" xfId="246"/>
    <cellStyle name="Normal 32" xfId="253"/>
    <cellStyle name="Normal 33" xfId="255"/>
    <cellStyle name="Normal 34" xfId="257"/>
    <cellStyle name="Normal 35" xfId="259"/>
    <cellStyle name="Normal 36" xfId="267"/>
    <cellStyle name="Normal 37" xfId="434"/>
    <cellStyle name="Normal 38" xfId="450"/>
    <cellStyle name="Normal 39" xfId="22"/>
    <cellStyle name="Normal 4" xfId="33"/>
    <cellStyle name="Normal 4 10" xfId="166"/>
    <cellStyle name="Normal 4 11" xfId="368"/>
    <cellStyle name="Normal 4 12" xfId="386"/>
    <cellStyle name="Normal 4 13" xfId="402"/>
    <cellStyle name="Normal 4 14" xfId="417"/>
    <cellStyle name="Normal 4 2" xfId="58"/>
    <cellStyle name="Normal 4 2 2" xfId="233"/>
    <cellStyle name="Normal 4 2 3" xfId="345"/>
    <cellStyle name="Normal 4 2 4" xfId="194"/>
    <cellStyle name="Normal 4 2 5" xfId="346"/>
    <cellStyle name="Normal 4 2 6" xfId="211"/>
    <cellStyle name="Normal 4 2 7" xfId="349"/>
    <cellStyle name="Normal 4 2 8" xfId="212"/>
    <cellStyle name="Normal 4 3" xfId="232"/>
    <cellStyle name="Normal 4 4" xfId="234"/>
    <cellStyle name="Normal 4 5" xfId="235"/>
    <cellStyle name="Normal 4 6" xfId="236"/>
    <cellStyle name="Normal 4 7" xfId="237"/>
    <cellStyle name="Normal 4 8" xfId="238"/>
    <cellStyle name="Normal 4 9" xfId="344"/>
    <cellStyle name="Normal 40" xfId="452"/>
    <cellStyle name="Normal 41" xfId="454"/>
    <cellStyle name="Normal 42" xfId="456"/>
    <cellStyle name="Normal 5" xfId="34"/>
    <cellStyle name="Normal 5 10" xfId="88"/>
    <cellStyle name="Normal 5 11" xfId="446"/>
    <cellStyle name="Normal 5 2" xfId="35"/>
    <cellStyle name="Normal 5 3" xfId="239"/>
    <cellStyle name="Normal 5 4" xfId="350"/>
    <cellStyle name="Normal 5 5" xfId="369"/>
    <cellStyle name="Normal 5 6" xfId="387"/>
    <cellStyle name="Normal 5 7" xfId="403"/>
    <cellStyle name="Normal 5 8" xfId="418"/>
    <cellStyle name="Normal 5 9" xfId="429"/>
    <cellStyle name="Normal 6" xfId="36"/>
    <cellStyle name="Normal 6 2" xfId="240"/>
    <cellStyle name="Normal 6 3" xfId="351"/>
    <cellStyle name="Normal 6 4" xfId="370"/>
    <cellStyle name="Normal 6 5" xfId="388"/>
    <cellStyle name="Normal 6 6" xfId="404"/>
    <cellStyle name="Normal 6 7" xfId="419"/>
    <cellStyle name="Normal 6 8" xfId="430"/>
    <cellStyle name="Normal 7" xfId="37"/>
    <cellStyle name="Normal 7 10" xfId="447"/>
    <cellStyle name="Normal 7 2" xfId="241"/>
    <cellStyle name="Normal 7 2 2" xfId="243"/>
    <cellStyle name="Normal 7 3" xfId="352"/>
    <cellStyle name="Normal 7 4" xfId="371"/>
    <cellStyle name="Normal 7 5" xfId="389"/>
    <cellStyle name="Normal 7 6" xfId="405"/>
    <cellStyle name="Normal 7 7" xfId="420"/>
    <cellStyle name="Normal 7 8" xfId="431"/>
    <cellStyle name="Normal 7 9" xfId="89"/>
    <cellStyle name="Normal 8" xfId="52"/>
    <cellStyle name="Normal 8 2" xfId="244"/>
    <cellStyle name="Normal 8 3" xfId="354"/>
    <cellStyle name="Normal 8 4" xfId="372"/>
    <cellStyle name="Normal 8 5" xfId="390"/>
    <cellStyle name="Normal 8 6" xfId="406"/>
    <cellStyle name="Normal 8 7" xfId="422"/>
    <cellStyle name="Normal 8 8" xfId="432"/>
    <cellStyle name="Normal 9" xfId="53"/>
    <cellStyle name="Normal 9 2" xfId="245"/>
    <cellStyle name="Normal 9 3" xfId="355"/>
    <cellStyle name="Normal 9 4" xfId="373"/>
    <cellStyle name="Normal 9 5" xfId="391"/>
    <cellStyle name="Normal 9 6" xfId="407"/>
    <cellStyle name="Normal 9 7" xfId="423"/>
    <cellStyle name="Normal 9 8" xfId="433"/>
    <cellStyle name="Normal_F2.1" xfId="462"/>
    <cellStyle name="Normal_F2.2" xfId="465"/>
    <cellStyle name="Normal_F2.3" xfId="466"/>
    <cellStyle name="Normal_FORMATS 5 YEAR ALOKE 2" xfId="14"/>
    <cellStyle name="Percent [0]_#6 Temps &amp; Contractors" xfId="15"/>
    <cellStyle name="Percent [2]" xfId="16"/>
    <cellStyle name="Percent 2" xfId="38"/>
    <cellStyle name="Percent 2 2" xfId="39"/>
    <cellStyle name="Percent 2 3" xfId="59"/>
    <cellStyle name="Percent 3" xfId="40"/>
    <cellStyle name="Percent 3 2" xfId="41"/>
    <cellStyle name="Percent 4" xfId="23"/>
    <cellStyle name="Percent 41" xfId="20"/>
    <cellStyle name="Percent 41 2" xfId="90"/>
    <cellStyle name="Percent 41 3" xfId="448"/>
    <cellStyle name="Percent 5" xfId="42"/>
    <cellStyle name="Percent 5 2" xfId="43"/>
    <cellStyle name="Percent 5 3" xfId="44"/>
    <cellStyle name="Percent 6" xfId="45"/>
    <cellStyle name="Percent 6 2" xfId="46"/>
    <cellStyle name="Percent 7" xfId="65"/>
    <cellStyle name="Percent 7 2" xfId="91"/>
    <cellStyle name="Percent 7 3" xfId="449"/>
    <cellStyle name="Style 1" xfId="17"/>
    <cellStyle name="Style 2" xfId="54"/>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0" zoomScaleNormal="80" zoomScaleSheetLayoutView="80" workbookViewId="0">
      <selection activeCell="G11" sqref="G11"/>
    </sheetView>
  </sheetViews>
  <sheetFormatPr defaultColWidth="9.28515625" defaultRowHeight="15" x14ac:dyDescent="0.2"/>
  <cols>
    <col min="1" max="1" width="3.7109375" style="6" customWidth="1"/>
    <col min="2" max="2" width="7.42578125" style="6" customWidth="1"/>
    <col min="3" max="3" width="12.5703125" style="6" customWidth="1"/>
    <col min="4" max="4" width="43.28515625" style="6" customWidth="1"/>
    <col min="5" max="5" width="11.42578125" style="6" customWidth="1"/>
    <col min="6" max="6" width="20.7109375" style="6" customWidth="1"/>
    <col min="7" max="8" width="18.7109375" style="6" customWidth="1"/>
    <col min="9" max="16384" width="9.28515625" style="6"/>
  </cols>
  <sheetData>
    <row r="1" spans="2:8" ht="15.75" x14ac:dyDescent="0.2">
      <c r="B1" s="275" t="s">
        <v>402</v>
      </c>
      <c r="C1" s="275"/>
      <c r="D1" s="276"/>
      <c r="E1" s="276"/>
      <c r="F1" s="1"/>
      <c r="G1" s="1"/>
      <c r="H1" s="1"/>
    </row>
    <row r="2" spans="2:8" ht="15.75" x14ac:dyDescent="0.2">
      <c r="B2" s="275" t="s">
        <v>492</v>
      </c>
      <c r="C2" s="275"/>
      <c r="D2" s="276"/>
      <c r="E2" s="276"/>
      <c r="F2" s="1"/>
      <c r="G2" s="1"/>
      <c r="H2" s="1"/>
    </row>
    <row r="3" spans="2:8" s="10" customFormat="1" ht="15.75" x14ac:dyDescent="0.2">
      <c r="B3" s="277" t="s">
        <v>371</v>
      </c>
      <c r="C3" s="277"/>
      <c r="D3" s="278"/>
      <c r="E3" s="278"/>
      <c r="F3" s="1"/>
      <c r="G3" s="1"/>
      <c r="H3" s="1"/>
    </row>
    <row r="4" spans="2:8" ht="15.75" x14ac:dyDescent="0.2">
      <c r="D4" s="65" t="s">
        <v>373</v>
      </c>
    </row>
    <row r="5" spans="2:8" ht="15.75" x14ac:dyDescent="0.2">
      <c r="B5" s="11" t="s">
        <v>193</v>
      </c>
      <c r="C5" s="11" t="s">
        <v>372</v>
      </c>
      <c r="D5" s="12" t="s">
        <v>7</v>
      </c>
      <c r="E5" s="12" t="s">
        <v>374</v>
      </c>
    </row>
    <row r="6" spans="2:8" x14ac:dyDescent="0.2">
      <c r="B6" s="7">
        <v>1</v>
      </c>
      <c r="C6" s="7" t="s">
        <v>6</v>
      </c>
      <c r="D6" s="164" t="s">
        <v>376</v>
      </c>
      <c r="E6" s="8"/>
    </row>
    <row r="7" spans="2:8" x14ac:dyDescent="0.2">
      <c r="B7" s="7">
        <f>B6+1</f>
        <v>2</v>
      </c>
      <c r="C7" s="7" t="s">
        <v>266</v>
      </c>
      <c r="D7" s="164" t="s">
        <v>378</v>
      </c>
      <c r="E7" s="8"/>
    </row>
    <row r="8" spans="2:8" x14ac:dyDescent="0.2">
      <c r="B8" s="7">
        <f>B7+1</f>
        <v>3</v>
      </c>
      <c r="C8" s="7" t="s">
        <v>24</v>
      </c>
      <c r="D8" s="164" t="s">
        <v>379</v>
      </c>
      <c r="E8" s="8"/>
    </row>
    <row r="9" spans="2:8" x14ac:dyDescent="0.2">
      <c r="B9" s="7">
        <f>B8+1</f>
        <v>4</v>
      </c>
      <c r="C9" s="7" t="s">
        <v>25</v>
      </c>
      <c r="D9" s="164" t="s">
        <v>380</v>
      </c>
      <c r="E9" s="8"/>
    </row>
    <row r="10" spans="2:8" x14ac:dyDescent="0.2">
      <c r="B10" s="7">
        <f>B9+1</f>
        <v>5</v>
      </c>
      <c r="C10" s="7" t="s">
        <v>267</v>
      </c>
      <c r="D10" s="164" t="s">
        <v>381</v>
      </c>
      <c r="E10" s="8"/>
    </row>
    <row r="11" spans="2:8" ht="30" x14ac:dyDescent="0.2">
      <c r="B11" s="7">
        <f t="shared" ref="B11:B26" si="0">B10+1</f>
        <v>6</v>
      </c>
      <c r="C11" s="7" t="s">
        <v>22</v>
      </c>
      <c r="D11" s="164" t="s">
        <v>220</v>
      </c>
      <c r="E11" s="8"/>
    </row>
    <row r="12" spans="2:8" ht="30" x14ac:dyDescent="0.2">
      <c r="B12" s="7">
        <f t="shared" si="0"/>
        <v>7</v>
      </c>
      <c r="C12" s="7" t="s">
        <v>27</v>
      </c>
      <c r="D12" s="164" t="s">
        <v>382</v>
      </c>
      <c r="E12" s="8"/>
    </row>
    <row r="13" spans="2:8" x14ac:dyDescent="0.2">
      <c r="B13" s="7">
        <f t="shared" si="0"/>
        <v>8</v>
      </c>
      <c r="C13" s="7" t="s">
        <v>28</v>
      </c>
      <c r="D13" s="9" t="s">
        <v>190</v>
      </c>
      <c r="E13" s="8"/>
    </row>
    <row r="14" spans="2:8" x14ac:dyDescent="0.2">
      <c r="B14" s="7">
        <f t="shared" si="0"/>
        <v>9</v>
      </c>
      <c r="C14" s="7" t="s">
        <v>23</v>
      </c>
      <c r="D14" s="9" t="s">
        <v>383</v>
      </c>
      <c r="E14" s="8"/>
    </row>
    <row r="15" spans="2:8" x14ac:dyDescent="0.2">
      <c r="B15" s="7">
        <f t="shared" si="0"/>
        <v>10</v>
      </c>
      <c r="C15" s="7" t="s">
        <v>29</v>
      </c>
      <c r="D15" s="164" t="s">
        <v>233</v>
      </c>
      <c r="E15" s="8"/>
    </row>
    <row r="16" spans="2:8" x14ac:dyDescent="0.2">
      <c r="B16" s="7">
        <f t="shared" si="0"/>
        <v>11</v>
      </c>
      <c r="C16" s="7" t="s">
        <v>30</v>
      </c>
      <c r="D16" s="9" t="s">
        <v>289</v>
      </c>
      <c r="E16" s="8"/>
    </row>
    <row r="17" spans="2:5" x14ac:dyDescent="0.2">
      <c r="B17" s="7">
        <f t="shared" si="0"/>
        <v>12</v>
      </c>
      <c r="C17" s="7" t="s">
        <v>31</v>
      </c>
      <c r="D17" s="9" t="s">
        <v>234</v>
      </c>
      <c r="E17" s="8"/>
    </row>
    <row r="18" spans="2:5" x14ac:dyDescent="0.2">
      <c r="B18" s="7">
        <f t="shared" si="0"/>
        <v>13</v>
      </c>
      <c r="C18" s="7" t="s">
        <v>32</v>
      </c>
      <c r="D18" s="9" t="s">
        <v>156</v>
      </c>
      <c r="E18" s="8"/>
    </row>
    <row r="19" spans="2:5" x14ac:dyDescent="0.2">
      <c r="B19" s="7">
        <f t="shared" si="0"/>
        <v>14</v>
      </c>
      <c r="C19" s="7" t="s">
        <v>33</v>
      </c>
      <c r="D19" s="9" t="s">
        <v>26</v>
      </c>
      <c r="E19" s="8"/>
    </row>
    <row r="20" spans="2:5" x14ac:dyDescent="0.2">
      <c r="B20" s="7">
        <f t="shared" si="0"/>
        <v>15</v>
      </c>
      <c r="C20" s="7" t="s">
        <v>34</v>
      </c>
      <c r="D20" s="164" t="s">
        <v>384</v>
      </c>
      <c r="E20" s="8"/>
    </row>
    <row r="21" spans="2:5" ht="30" x14ac:dyDescent="0.2">
      <c r="B21" s="7">
        <f t="shared" si="0"/>
        <v>16</v>
      </c>
      <c r="C21" s="7" t="s">
        <v>35</v>
      </c>
      <c r="D21" s="164" t="s">
        <v>385</v>
      </c>
      <c r="E21" s="8"/>
    </row>
    <row r="22" spans="2:5" x14ac:dyDescent="0.2">
      <c r="B22" s="7">
        <f t="shared" si="0"/>
        <v>17</v>
      </c>
      <c r="C22" s="7" t="s">
        <v>164</v>
      </c>
      <c r="D22" s="164" t="s">
        <v>237</v>
      </c>
      <c r="E22" s="8"/>
    </row>
    <row r="23" spans="2:5" x14ac:dyDescent="0.2">
      <c r="B23" s="7">
        <f t="shared" si="0"/>
        <v>18</v>
      </c>
      <c r="C23" s="7" t="s">
        <v>169</v>
      </c>
      <c r="D23" s="164" t="s">
        <v>386</v>
      </c>
      <c r="E23" s="8"/>
    </row>
    <row r="24" spans="2:5" x14ac:dyDescent="0.2">
      <c r="B24" s="7">
        <f t="shared" si="0"/>
        <v>19</v>
      </c>
      <c r="C24" s="7" t="s">
        <v>375</v>
      </c>
      <c r="D24" s="164" t="s">
        <v>228</v>
      </c>
      <c r="E24" s="8"/>
    </row>
    <row r="25" spans="2:5" x14ac:dyDescent="0.2">
      <c r="B25" s="7">
        <f t="shared" si="0"/>
        <v>20</v>
      </c>
      <c r="C25" s="7" t="s">
        <v>222</v>
      </c>
      <c r="D25" s="164" t="s">
        <v>387</v>
      </c>
      <c r="E25" s="8"/>
    </row>
    <row r="26" spans="2:5" x14ac:dyDescent="0.2">
      <c r="B26" s="7">
        <f t="shared" si="0"/>
        <v>21</v>
      </c>
      <c r="C26" s="7" t="s">
        <v>223</v>
      </c>
      <c r="D26" s="9" t="s">
        <v>388</v>
      </c>
      <c r="E26" s="8"/>
    </row>
  </sheetData>
  <mergeCells count="3">
    <mergeCell ref="B1:E1"/>
    <mergeCell ref="B3:E3"/>
    <mergeCell ref="B2:E2"/>
  </mergeCells>
  <phoneticPr fontId="14" type="noConversion"/>
  <pageMargins left="1.3"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3"/>
  <sheetViews>
    <sheetView topLeftCell="A35" zoomScale="93" zoomScaleNormal="93" zoomScaleSheetLayoutView="90" workbookViewId="0">
      <selection activeCell="H56" sqref="H56"/>
    </sheetView>
  </sheetViews>
  <sheetFormatPr defaultColWidth="9.28515625" defaultRowHeight="14.25" x14ac:dyDescent="0.2"/>
  <cols>
    <col min="1" max="1" width="4.28515625" style="5" customWidth="1"/>
    <col min="2" max="2" width="5.140625" style="5" customWidth="1"/>
    <col min="3" max="3" width="30.7109375" style="5" customWidth="1"/>
    <col min="4" max="4" width="8.140625" style="5" customWidth="1"/>
    <col min="5" max="5" width="11.28515625" style="5" customWidth="1"/>
    <col min="6" max="6" width="12.42578125" style="5" customWidth="1"/>
    <col min="7" max="7" width="9.5703125" style="5" customWidth="1"/>
    <col min="8" max="8" width="12.28515625" style="5" customWidth="1"/>
    <col min="9" max="9" width="12.140625" style="5" customWidth="1"/>
    <col min="10" max="10" width="14.140625" style="5" customWidth="1"/>
    <col min="11" max="11" width="9.5703125" style="5" customWidth="1"/>
    <col min="12" max="12" width="9.42578125" style="5" customWidth="1"/>
    <col min="13" max="13" width="12.85546875" style="5" customWidth="1"/>
    <col min="14" max="14" width="12.5703125" style="5" customWidth="1"/>
    <col min="15" max="15" width="10.7109375" style="5" customWidth="1"/>
    <col min="16" max="16" width="13.7109375" style="5" bestFit="1" customWidth="1"/>
    <col min="17" max="22" width="11.7109375" style="5" bestFit="1" customWidth="1"/>
    <col min="23" max="16384" width="9.28515625" style="5"/>
  </cols>
  <sheetData>
    <row r="1" spans="2:16" ht="6" customHeight="1" x14ac:dyDescent="0.2">
      <c r="B1" s="24"/>
    </row>
    <row r="2" spans="2:16" ht="15" x14ac:dyDescent="0.2">
      <c r="G2" s="279" t="s">
        <v>403</v>
      </c>
      <c r="H2" s="279"/>
      <c r="I2" s="33"/>
    </row>
    <row r="3" spans="2:16" ht="15" x14ac:dyDescent="0.2">
      <c r="G3" s="279" t="str">
        <f>'F1'!$B$3</f>
        <v>BTPS</v>
      </c>
      <c r="H3" s="279"/>
      <c r="I3" s="33"/>
    </row>
    <row r="4" spans="2:16" ht="15" x14ac:dyDescent="0.2">
      <c r="H4" s="35" t="s">
        <v>272</v>
      </c>
      <c r="I4" s="35"/>
    </row>
    <row r="5" spans="2:16" ht="10.5" customHeight="1" x14ac:dyDescent="0.2">
      <c r="K5" s="35"/>
      <c r="N5" s="32" t="s">
        <v>4</v>
      </c>
    </row>
    <row r="6" spans="2:16" ht="7.5" customHeight="1" x14ac:dyDescent="0.2">
      <c r="F6" s="151"/>
      <c r="G6" s="151"/>
      <c r="H6" s="151"/>
      <c r="I6" s="151"/>
      <c r="J6" s="151"/>
      <c r="K6" s="151"/>
      <c r="L6" s="151"/>
      <c r="M6" s="151"/>
      <c r="N6" s="151"/>
      <c r="O6" s="151"/>
      <c r="P6" s="151"/>
    </row>
    <row r="7" spans="2:16" ht="15" x14ac:dyDescent="0.2">
      <c r="B7" s="300" t="s">
        <v>404</v>
      </c>
      <c r="C7" s="300"/>
      <c r="D7" s="300"/>
      <c r="E7" s="300"/>
      <c r="F7" s="300"/>
      <c r="G7" s="300"/>
      <c r="H7" s="300"/>
      <c r="I7" s="300"/>
      <c r="J7" s="300"/>
      <c r="K7" s="300"/>
      <c r="L7" s="300"/>
      <c r="M7" s="300"/>
      <c r="N7" s="300"/>
      <c r="O7" s="300"/>
    </row>
    <row r="8" spans="2:16" ht="14.25" customHeight="1" x14ac:dyDescent="0.2">
      <c r="B8" s="301" t="s">
        <v>2</v>
      </c>
      <c r="C8" s="302" t="s">
        <v>265</v>
      </c>
      <c r="D8" s="301" t="s">
        <v>254</v>
      </c>
      <c r="E8" s="301" t="s">
        <v>255</v>
      </c>
      <c r="F8" s="301" t="s">
        <v>256</v>
      </c>
      <c r="G8" s="301"/>
      <c r="H8" s="301"/>
      <c r="I8" s="301"/>
      <c r="J8" s="301" t="s">
        <v>257</v>
      </c>
      <c r="K8" s="301"/>
      <c r="L8" s="301"/>
      <c r="M8" s="301"/>
      <c r="N8" s="301" t="s">
        <v>258</v>
      </c>
      <c r="O8" s="301"/>
    </row>
    <row r="9" spans="2:16" ht="60" x14ac:dyDescent="0.2">
      <c r="B9" s="301"/>
      <c r="C9" s="302"/>
      <c r="D9" s="301"/>
      <c r="E9" s="301"/>
      <c r="F9" s="238" t="s">
        <v>259</v>
      </c>
      <c r="G9" s="238" t="s">
        <v>138</v>
      </c>
      <c r="H9" s="238" t="s">
        <v>260</v>
      </c>
      <c r="I9" s="238" t="s">
        <v>261</v>
      </c>
      <c r="J9" s="238" t="s">
        <v>262</v>
      </c>
      <c r="K9" s="238" t="s">
        <v>138</v>
      </c>
      <c r="L9" s="238" t="s">
        <v>263</v>
      </c>
      <c r="M9" s="238" t="s">
        <v>264</v>
      </c>
      <c r="N9" s="238" t="s">
        <v>259</v>
      </c>
      <c r="O9" s="238" t="s">
        <v>261</v>
      </c>
    </row>
    <row r="10" spans="2:16" x14ac:dyDescent="0.2">
      <c r="B10" s="239">
        <v>1</v>
      </c>
      <c r="C10" s="240" t="s">
        <v>469</v>
      </c>
      <c r="D10" s="241">
        <v>1010</v>
      </c>
      <c r="E10" s="242"/>
      <c r="F10" s="178">
        <v>122.76735859999999</v>
      </c>
      <c r="G10" s="178">
        <v>9.7847483999999998</v>
      </c>
      <c r="H10" s="243"/>
      <c r="I10" s="244">
        <f>F10+G10+H10</f>
        <v>132.55210700000001</v>
      </c>
      <c r="J10" s="178">
        <v>0</v>
      </c>
      <c r="K10" s="178">
        <v>0</v>
      </c>
      <c r="L10" s="243"/>
      <c r="M10" s="244">
        <f>J10+K10+L10</f>
        <v>0</v>
      </c>
      <c r="N10" s="243">
        <f>+F10-J10</f>
        <v>122.76735859999999</v>
      </c>
      <c r="O10" s="243">
        <f>+I10-M10</f>
        <v>132.55210700000001</v>
      </c>
    </row>
    <row r="11" spans="2:16" x14ac:dyDescent="0.2">
      <c r="B11" s="239">
        <v>2</v>
      </c>
      <c r="C11" s="240" t="s">
        <v>470</v>
      </c>
      <c r="D11" s="241">
        <v>1100</v>
      </c>
      <c r="E11" s="242"/>
      <c r="F11" s="178">
        <v>629.12308839700006</v>
      </c>
      <c r="G11" s="178">
        <v>15.3142283</v>
      </c>
      <c r="H11" s="243"/>
      <c r="I11" s="244">
        <f t="shared" ref="I11:I20" si="0">F11+G11+H11</f>
        <v>644.43731669700003</v>
      </c>
      <c r="J11" s="178">
        <v>79.780268880999998</v>
      </c>
      <c r="K11" s="178">
        <v>19.097349703999999</v>
      </c>
      <c r="L11" s="243"/>
      <c r="M11" s="244">
        <f t="shared" ref="M11:M20" si="1">J11+K11+L11</f>
        <v>98.877618584999993</v>
      </c>
      <c r="N11" s="243">
        <f t="shared" ref="N11:N20" si="2">+F11-J11</f>
        <v>549.34281951600008</v>
      </c>
      <c r="O11" s="243">
        <f t="shared" ref="O11:O20" si="3">+I11-M11</f>
        <v>545.55969811199998</v>
      </c>
    </row>
    <row r="12" spans="2:16" x14ac:dyDescent="0.2">
      <c r="B12" s="239">
        <v>3</v>
      </c>
      <c r="C12" s="240" t="s">
        <v>471</v>
      </c>
      <c r="D12" s="241">
        <v>1200</v>
      </c>
      <c r="E12" s="245"/>
      <c r="F12" s="178">
        <v>661.79580963299998</v>
      </c>
      <c r="G12" s="178">
        <v>7.7652799999999994E-2</v>
      </c>
      <c r="H12" s="243"/>
      <c r="I12" s="244">
        <f t="shared" si="0"/>
        <v>661.87346243299999</v>
      </c>
      <c r="J12" s="178">
        <v>95.453586260999998</v>
      </c>
      <c r="K12" s="178">
        <v>22.596717950999999</v>
      </c>
      <c r="L12" s="243"/>
      <c r="M12" s="244">
        <f t="shared" si="1"/>
        <v>118.050304212</v>
      </c>
      <c r="N12" s="243">
        <f t="shared" si="2"/>
        <v>566.34222337200003</v>
      </c>
      <c r="O12" s="243">
        <f t="shared" si="3"/>
        <v>543.82315822099997</v>
      </c>
    </row>
    <row r="13" spans="2:16" x14ac:dyDescent="0.2">
      <c r="B13" s="239">
        <v>4</v>
      </c>
      <c r="C13" s="240" t="s">
        <v>472</v>
      </c>
      <c r="D13" s="241">
        <v>1300</v>
      </c>
      <c r="E13" s="245"/>
      <c r="F13" s="178">
        <v>5049.1185060759999</v>
      </c>
      <c r="G13" s="178">
        <v>62.926636328999997</v>
      </c>
      <c r="H13" s="243"/>
      <c r="I13" s="244">
        <v>5112.051295958001</v>
      </c>
      <c r="J13" s="178">
        <v>801.32630516300026</v>
      </c>
      <c r="K13" s="178">
        <v>173.308556192</v>
      </c>
      <c r="L13" s="243"/>
      <c r="M13" s="244">
        <f t="shared" si="1"/>
        <v>974.63486135500023</v>
      </c>
      <c r="N13" s="243">
        <f t="shared" si="2"/>
        <v>4247.7922009129998</v>
      </c>
      <c r="O13" s="243">
        <f t="shared" si="3"/>
        <v>4137.4164346030011</v>
      </c>
    </row>
    <row r="14" spans="2:16" x14ac:dyDescent="0.2">
      <c r="B14" s="239">
        <v>5</v>
      </c>
      <c r="C14" s="240" t="s">
        <v>473</v>
      </c>
      <c r="D14" s="241">
        <v>1400</v>
      </c>
      <c r="E14" s="245"/>
      <c r="F14" s="178">
        <v>31.96</v>
      </c>
      <c r="G14" s="178">
        <v>0</v>
      </c>
      <c r="H14" s="243"/>
      <c r="I14" s="244">
        <f>F14+G14+H14</f>
        <v>31.96</v>
      </c>
      <c r="J14" s="178">
        <v>2.5850879999999998</v>
      </c>
      <c r="K14" s="178">
        <v>1.3877911189999999</v>
      </c>
      <c r="L14" s="243"/>
      <c r="M14" s="244">
        <f t="shared" si="1"/>
        <v>3.9728791189999999</v>
      </c>
      <c r="N14" s="243">
        <f t="shared" si="2"/>
        <v>29.374912000000002</v>
      </c>
      <c r="O14" s="243">
        <f t="shared" si="3"/>
        <v>27.987120881000003</v>
      </c>
      <c r="P14" s="165"/>
    </row>
    <row r="15" spans="2:16" x14ac:dyDescent="0.2">
      <c r="B15" s="239">
        <v>6</v>
      </c>
      <c r="C15" s="240" t="s">
        <v>474</v>
      </c>
      <c r="D15" s="241">
        <v>1500</v>
      </c>
      <c r="E15" s="245"/>
      <c r="F15" s="178">
        <v>822.36068960500006</v>
      </c>
      <c r="G15" s="178">
        <v>0.40957180700000001</v>
      </c>
      <c r="H15" s="243"/>
      <c r="I15" s="244">
        <f t="shared" si="0"/>
        <v>822.77026141200008</v>
      </c>
      <c r="J15" s="178">
        <v>143.64948654299999</v>
      </c>
      <c r="K15" s="178">
        <v>25.416164421000001</v>
      </c>
      <c r="L15" s="243"/>
      <c r="M15" s="244">
        <f t="shared" si="1"/>
        <v>169.06565096399999</v>
      </c>
      <c r="N15" s="243">
        <f t="shared" si="2"/>
        <v>678.7112030620001</v>
      </c>
      <c r="O15" s="243">
        <f t="shared" si="3"/>
        <v>653.70461044800004</v>
      </c>
    </row>
    <row r="16" spans="2:16" x14ac:dyDescent="0.2">
      <c r="B16" s="239">
        <v>7</v>
      </c>
      <c r="C16" s="240" t="s">
        <v>475</v>
      </c>
      <c r="D16" s="241">
        <v>1600</v>
      </c>
      <c r="E16" s="245"/>
      <c r="F16" s="178">
        <v>124.93894308</v>
      </c>
      <c r="G16" s="178">
        <v>3.6357940340000003</v>
      </c>
      <c r="H16" s="243"/>
      <c r="I16" s="244">
        <f t="shared" si="0"/>
        <v>128.57473711400002</v>
      </c>
      <c r="J16" s="178">
        <v>6.2540146400000003</v>
      </c>
      <c r="K16" s="178">
        <v>4.1833088700000003</v>
      </c>
      <c r="L16" s="243"/>
      <c r="M16" s="244">
        <f t="shared" si="1"/>
        <v>10.437323510000001</v>
      </c>
      <c r="N16" s="243">
        <f t="shared" si="2"/>
        <v>118.68492844000001</v>
      </c>
      <c r="O16" s="243">
        <f t="shared" si="3"/>
        <v>118.13741360400002</v>
      </c>
    </row>
    <row r="17" spans="2:16" x14ac:dyDescent="0.2">
      <c r="B17" s="239">
        <v>8</v>
      </c>
      <c r="C17" s="240" t="s">
        <v>476</v>
      </c>
      <c r="D17" s="241">
        <v>1700</v>
      </c>
      <c r="E17" s="245"/>
      <c r="F17" s="178">
        <v>0.64517810799999997</v>
      </c>
      <c r="G17" s="178">
        <v>0.29207920700000001</v>
      </c>
      <c r="H17" s="243"/>
      <c r="I17" s="244">
        <f t="shared" si="0"/>
        <v>0.93725731499999998</v>
      </c>
      <c r="J17" s="178">
        <v>0.131853889</v>
      </c>
      <c r="K17" s="178">
        <v>0.19857688600000001</v>
      </c>
      <c r="L17" s="243"/>
      <c r="M17" s="244">
        <f t="shared" si="1"/>
        <v>0.33043077500000001</v>
      </c>
      <c r="N17" s="243">
        <f t="shared" si="2"/>
        <v>0.51332421900000003</v>
      </c>
      <c r="O17" s="243">
        <f t="shared" si="3"/>
        <v>0.60682653999999991</v>
      </c>
    </row>
    <row r="18" spans="2:16" x14ac:dyDescent="0.2">
      <c r="B18" s="239">
        <v>9</v>
      </c>
      <c r="C18" s="240" t="s">
        <v>477</v>
      </c>
      <c r="D18" s="241">
        <v>1800</v>
      </c>
      <c r="E18" s="245"/>
      <c r="F18" s="178">
        <v>1.2495715329999999</v>
      </c>
      <c r="G18" s="178">
        <v>0.108861734</v>
      </c>
      <c r="H18" s="243"/>
      <c r="I18" s="244">
        <f t="shared" si="0"/>
        <v>1.3584332669999999</v>
      </c>
      <c r="J18" s="178">
        <v>0.24091232400000001</v>
      </c>
      <c r="K18" s="178">
        <v>0.108628525</v>
      </c>
      <c r="L18" s="243"/>
      <c r="M18" s="244">
        <f t="shared" si="1"/>
        <v>0.34954084900000004</v>
      </c>
      <c r="N18" s="243">
        <f t="shared" si="2"/>
        <v>1.0086592089999999</v>
      </c>
      <c r="O18" s="243">
        <f t="shared" si="3"/>
        <v>1.0088924179999998</v>
      </c>
    </row>
    <row r="19" spans="2:16" x14ac:dyDescent="0.2">
      <c r="B19" s="239">
        <v>10</v>
      </c>
      <c r="C19" s="240" t="s">
        <v>410</v>
      </c>
      <c r="D19" s="241">
        <v>1900</v>
      </c>
      <c r="E19" s="245"/>
      <c r="F19" s="178">
        <v>0.95104733900000005</v>
      </c>
      <c r="G19" s="178">
        <v>9.4292856000000008E-2</v>
      </c>
      <c r="H19" s="243"/>
      <c r="I19" s="244">
        <f t="shared" si="0"/>
        <v>1.0453401950000001</v>
      </c>
      <c r="J19" s="178">
        <v>0.36158499100000002</v>
      </c>
      <c r="K19" s="178">
        <v>0.18535622900000001</v>
      </c>
      <c r="L19" s="243"/>
      <c r="M19" s="244">
        <f t="shared" si="1"/>
        <v>0.54694122000000001</v>
      </c>
      <c r="N19" s="243">
        <f t="shared" si="2"/>
        <v>0.58946234800000008</v>
      </c>
      <c r="O19" s="243">
        <f t="shared" si="3"/>
        <v>0.49839897500000008</v>
      </c>
    </row>
    <row r="20" spans="2:16" x14ac:dyDescent="0.2">
      <c r="B20" s="239">
        <v>11</v>
      </c>
      <c r="C20" s="240" t="s">
        <v>478</v>
      </c>
      <c r="D20" s="241">
        <v>2100</v>
      </c>
      <c r="E20" s="245"/>
      <c r="F20" s="178">
        <v>0.36545714400000001</v>
      </c>
      <c r="G20" s="178">
        <v>2.4143314650000001</v>
      </c>
      <c r="H20" s="243"/>
      <c r="I20" s="244">
        <f t="shared" si="0"/>
        <v>2.7797886090000001</v>
      </c>
      <c r="J20" s="178">
        <v>0.136899308</v>
      </c>
      <c r="K20" s="178">
        <v>0.69256424299999997</v>
      </c>
      <c r="L20" s="243"/>
      <c r="M20" s="244">
        <f t="shared" si="1"/>
        <v>0.82946355099999991</v>
      </c>
      <c r="N20" s="243">
        <f t="shared" si="2"/>
        <v>0.22855783600000001</v>
      </c>
      <c r="O20" s="243">
        <f t="shared" si="3"/>
        <v>1.9503250580000002</v>
      </c>
    </row>
    <row r="21" spans="2:16" s="49" customFormat="1" ht="15" x14ac:dyDescent="0.2">
      <c r="B21" s="241"/>
      <c r="C21" s="247" t="s">
        <v>139</v>
      </c>
      <c r="D21" s="247"/>
      <c r="E21" s="248">
        <f>IFERROR((K21-L21)/AVERAGE(F21,I21),0)</f>
        <v>3.298895874845352E-2</v>
      </c>
      <c r="F21" s="249">
        <f>ROUND(SUM(F10:F20),2)</f>
        <v>7445.28</v>
      </c>
      <c r="G21" s="249">
        <f t="shared" ref="G21:O21" si="4">ROUND(SUM(G10:G20),2)</f>
        <v>95.06</v>
      </c>
      <c r="H21" s="249">
        <f t="shared" si="4"/>
        <v>0</v>
      </c>
      <c r="I21" s="249">
        <f t="shared" si="4"/>
        <v>7540.34</v>
      </c>
      <c r="J21" s="249">
        <f t="shared" si="4"/>
        <v>1129.92</v>
      </c>
      <c r="K21" s="249">
        <f t="shared" si="4"/>
        <v>247.18</v>
      </c>
      <c r="L21" s="249">
        <f t="shared" si="4"/>
        <v>0</v>
      </c>
      <c r="M21" s="249">
        <f t="shared" si="4"/>
        <v>1377.1</v>
      </c>
      <c r="N21" s="249">
        <f t="shared" si="4"/>
        <v>6315.36</v>
      </c>
      <c r="O21" s="249">
        <f t="shared" si="4"/>
        <v>6163.24</v>
      </c>
    </row>
    <row r="22" spans="2:16" x14ac:dyDescent="0.2">
      <c r="F22" s="163"/>
      <c r="G22" s="163"/>
      <c r="H22" s="163"/>
      <c r="I22" s="163"/>
      <c r="J22" s="163"/>
      <c r="K22" s="163"/>
      <c r="L22" s="163"/>
      <c r="M22" s="163"/>
      <c r="N22" s="163"/>
      <c r="O22" s="163"/>
      <c r="P22" s="163"/>
    </row>
    <row r="23" spans="2:16" ht="15" x14ac:dyDescent="0.2">
      <c r="B23" s="300" t="s">
        <v>405</v>
      </c>
      <c r="C23" s="300"/>
      <c r="D23" s="300"/>
      <c r="E23" s="300"/>
      <c r="F23" s="300"/>
      <c r="G23" s="300"/>
      <c r="H23" s="300"/>
      <c r="I23" s="300"/>
      <c r="J23" s="300"/>
      <c r="K23" s="300"/>
      <c r="L23" s="300"/>
      <c r="M23" s="300"/>
      <c r="N23" s="300"/>
      <c r="O23" s="300"/>
    </row>
    <row r="24" spans="2:16" ht="15" x14ac:dyDescent="0.2">
      <c r="B24" s="301" t="s">
        <v>2</v>
      </c>
      <c r="C24" s="302" t="s">
        <v>265</v>
      </c>
      <c r="D24" s="301" t="s">
        <v>254</v>
      </c>
      <c r="E24" s="301" t="s">
        <v>255</v>
      </c>
      <c r="F24" s="301" t="s">
        <v>256</v>
      </c>
      <c r="G24" s="301"/>
      <c r="H24" s="301"/>
      <c r="I24" s="301"/>
      <c r="J24" s="301" t="s">
        <v>257</v>
      </c>
      <c r="K24" s="301"/>
      <c r="L24" s="301"/>
      <c r="M24" s="301"/>
      <c r="N24" s="301" t="s">
        <v>258</v>
      </c>
      <c r="O24" s="301"/>
    </row>
    <row r="25" spans="2:16" ht="60" x14ac:dyDescent="0.2">
      <c r="B25" s="301"/>
      <c r="C25" s="302"/>
      <c r="D25" s="301"/>
      <c r="E25" s="301"/>
      <c r="F25" s="238" t="s">
        <v>259</v>
      </c>
      <c r="G25" s="238" t="s">
        <v>138</v>
      </c>
      <c r="H25" s="238" t="s">
        <v>260</v>
      </c>
      <c r="I25" s="238" t="s">
        <v>261</v>
      </c>
      <c r="J25" s="238" t="s">
        <v>262</v>
      </c>
      <c r="K25" s="238" t="s">
        <v>138</v>
      </c>
      <c r="L25" s="238" t="s">
        <v>263</v>
      </c>
      <c r="M25" s="238" t="s">
        <v>264</v>
      </c>
      <c r="N25" s="238" t="s">
        <v>259</v>
      </c>
      <c r="O25" s="238" t="s">
        <v>261</v>
      </c>
    </row>
    <row r="26" spans="2:16" x14ac:dyDescent="0.2">
      <c r="B26" s="239">
        <v>1</v>
      </c>
      <c r="C26" s="240" t="s">
        <v>469</v>
      </c>
      <c r="D26" s="241">
        <v>1010</v>
      </c>
      <c r="E26" s="242"/>
      <c r="F26" s="243">
        <f t="shared" ref="F26:F36" si="5">I10</f>
        <v>132.55210700000001</v>
      </c>
      <c r="G26" s="243"/>
      <c r="H26" s="243"/>
      <c r="I26" s="244">
        <f>F26+G26+H26</f>
        <v>132.55210700000001</v>
      </c>
      <c r="J26" s="243">
        <f t="shared" ref="J26:J36" si="6">M10</f>
        <v>0</v>
      </c>
      <c r="K26" s="243">
        <v>0</v>
      </c>
      <c r="L26" s="243"/>
      <c r="M26" s="244">
        <f>J26+K26+L26</f>
        <v>0</v>
      </c>
      <c r="N26" s="243">
        <f>+F26-J26</f>
        <v>132.55210700000001</v>
      </c>
      <c r="O26" s="243">
        <f>+I26-M26</f>
        <v>132.55210700000001</v>
      </c>
    </row>
    <row r="27" spans="2:16" x14ac:dyDescent="0.2">
      <c r="B27" s="239">
        <v>2</v>
      </c>
      <c r="C27" s="240" t="s">
        <v>470</v>
      </c>
      <c r="D27" s="241">
        <v>1100</v>
      </c>
      <c r="E27" s="242"/>
      <c r="F27" s="243">
        <f t="shared" si="5"/>
        <v>644.43731669700003</v>
      </c>
      <c r="G27" s="243"/>
      <c r="H27" s="243"/>
      <c r="I27" s="244">
        <f t="shared" ref="I27:I36" si="7">F27+G27+H27</f>
        <v>644.43731669700003</v>
      </c>
      <c r="J27" s="243">
        <f t="shared" si="6"/>
        <v>98.877618584999993</v>
      </c>
      <c r="K27" s="243">
        <v>19.097349703999999</v>
      </c>
      <c r="L27" s="243"/>
      <c r="M27" s="244">
        <f t="shared" ref="M27:M36" si="8">J27+K27+L27</f>
        <v>117.97496828899999</v>
      </c>
      <c r="N27" s="243">
        <f t="shared" ref="N27:N36" si="9">+F27-J27</f>
        <v>545.55969811199998</v>
      </c>
      <c r="O27" s="243">
        <f t="shared" ref="O27:O36" si="10">+I27-M27</f>
        <v>526.46234840800003</v>
      </c>
    </row>
    <row r="28" spans="2:16" x14ac:dyDescent="0.2">
      <c r="B28" s="239">
        <v>3</v>
      </c>
      <c r="C28" s="240" t="s">
        <v>471</v>
      </c>
      <c r="D28" s="241">
        <v>1200</v>
      </c>
      <c r="E28" s="245"/>
      <c r="F28" s="243">
        <f t="shared" si="5"/>
        <v>661.87346243299999</v>
      </c>
      <c r="G28" s="243"/>
      <c r="H28" s="243"/>
      <c r="I28" s="244">
        <f t="shared" si="7"/>
        <v>661.87346243299999</v>
      </c>
      <c r="J28" s="243">
        <f t="shared" si="6"/>
        <v>118.050304212</v>
      </c>
      <c r="K28" s="243">
        <v>22.596717950999999</v>
      </c>
      <c r="L28" s="243"/>
      <c r="M28" s="244">
        <f t="shared" si="8"/>
        <v>140.647022163</v>
      </c>
      <c r="N28" s="243">
        <f t="shared" si="9"/>
        <v>543.82315822099997</v>
      </c>
      <c r="O28" s="243">
        <f t="shared" si="10"/>
        <v>521.22644027000001</v>
      </c>
    </row>
    <row r="29" spans="2:16" x14ac:dyDescent="0.2">
      <c r="B29" s="239">
        <v>4</v>
      </c>
      <c r="C29" s="240" t="s">
        <v>472</v>
      </c>
      <c r="D29" s="241">
        <v>1300</v>
      </c>
      <c r="E29" s="245"/>
      <c r="F29" s="243">
        <f t="shared" si="5"/>
        <v>5112.051295958001</v>
      </c>
      <c r="G29" s="243">
        <v>39.22</v>
      </c>
      <c r="H29" s="243"/>
      <c r="I29" s="244">
        <f t="shared" si="7"/>
        <v>5151.2712959580012</v>
      </c>
      <c r="J29" s="243">
        <f t="shared" si="6"/>
        <v>974.63486135500023</v>
      </c>
      <c r="K29" s="243">
        <v>174.11354205199999</v>
      </c>
      <c r="L29" s="243"/>
      <c r="M29" s="244">
        <f t="shared" si="8"/>
        <v>1148.7484034070003</v>
      </c>
      <c r="N29" s="243">
        <f t="shared" si="9"/>
        <v>4137.4164346030011</v>
      </c>
      <c r="O29" s="243">
        <f t="shared" si="10"/>
        <v>4002.522892551001</v>
      </c>
    </row>
    <row r="30" spans="2:16" x14ac:dyDescent="0.2">
      <c r="B30" s="239">
        <v>5</v>
      </c>
      <c r="C30" s="240" t="s">
        <v>473</v>
      </c>
      <c r="D30" s="241">
        <v>1400</v>
      </c>
      <c r="E30" s="245"/>
      <c r="F30" s="243">
        <f t="shared" si="5"/>
        <v>31.96</v>
      </c>
      <c r="G30" s="243"/>
      <c r="H30" s="243"/>
      <c r="I30" s="244">
        <f t="shared" si="7"/>
        <v>31.96</v>
      </c>
      <c r="J30" s="243">
        <f t="shared" si="6"/>
        <v>3.9728791189999999</v>
      </c>
      <c r="K30" s="246">
        <v>1.3877911189999999</v>
      </c>
      <c r="L30" s="243"/>
      <c r="M30" s="244">
        <f t="shared" si="8"/>
        <v>5.360670238</v>
      </c>
      <c r="N30" s="243">
        <f t="shared" si="9"/>
        <v>27.987120881000003</v>
      </c>
      <c r="O30" s="243">
        <f t="shared" si="10"/>
        <v>26.599329762</v>
      </c>
    </row>
    <row r="31" spans="2:16" x14ac:dyDescent="0.2">
      <c r="B31" s="239">
        <v>6</v>
      </c>
      <c r="C31" s="240" t="s">
        <v>474</v>
      </c>
      <c r="D31" s="241">
        <v>1500</v>
      </c>
      <c r="E31" s="245"/>
      <c r="F31" s="243">
        <f t="shared" si="5"/>
        <v>822.77026141200008</v>
      </c>
      <c r="G31" s="243"/>
      <c r="H31" s="243"/>
      <c r="I31" s="244">
        <f t="shared" si="7"/>
        <v>822.77026141200008</v>
      </c>
      <c r="J31" s="243">
        <f t="shared" si="6"/>
        <v>169.06565096399999</v>
      </c>
      <c r="K31" s="246">
        <v>25.416164421000001</v>
      </c>
      <c r="L31" s="243"/>
      <c r="M31" s="244">
        <f t="shared" si="8"/>
        <v>194.48181538499998</v>
      </c>
      <c r="N31" s="243">
        <f t="shared" si="9"/>
        <v>653.70461044800004</v>
      </c>
      <c r="O31" s="243">
        <f t="shared" si="10"/>
        <v>628.28844602700008</v>
      </c>
    </row>
    <row r="32" spans="2:16" x14ac:dyDescent="0.2">
      <c r="B32" s="239">
        <v>7</v>
      </c>
      <c r="C32" s="240" t="s">
        <v>475</v>
      </c>
      <c r="D32" s="241">
        <v>1600</v>
      </c>
      <c r="E32" s="245"/>
      <c r="F32" s="243">
        <f t="shared" si="5"/>
        <v>128.57473711400002</v>
      </c>
      <c r="G32" s="243"/>
      <c r="H32" s="243"/>
      <c r="I32" s="244">
        <f t="shared" si="7"/>
        <v>128.57473711400002</v>
      </c>
      <c r="J32" s="243">
        <f t="shared" si="6"/>
        <v>10.437323510000001</v>
      </c>
      <c r="K32" s="246">
        <v>4.1833088700000003</v>
      </c>
      <c r="L32" s="243"/>
      <c r="M32" s="244">
        <f t="shared" si="8"/>
        <v>14.62063238</v>
      </c>
      <c r="N32" s="243">
        <f t="shared" si="9"/>
        <v>118.13741360400002</v>
      </c>
      <c r="O32" s="243">
        <f t="shared" si="10"/>
        <v>113.95410473400001</v>
      </c>
    </row>
    <row r="33" spans="2:16" x14ac:dyDescent="0.2">
      <c r="B33" s="239">
        <v>8</v>
      </c>
      <c r="C33" s="240" t="s">
        <v>476</v>
      </c>
      <c r="D33" s="241">
        <v>1700</v>
      </c>
      <c r="E33" s="245"/>
      <c r="F33" s="243">
        <f t="shared" si="5"/>
        <v>0.93725731499999998</v>
      </c>
      <c r="G33" s="243"/>
      <c r="H33" s="243"/>
      <c r="I33" s="244">
        <f t="shared" si="7"/>
        <v>0.93725731499999998</v>
      </c>
      <c r="J33" s="243">
        <f t="shared" si="6"/>
        <v>0.33043077500000001</v>
      </c>
      <c r="K33" s="246">
        <v>0.19857688600000001</v>
      </c>
      <c r="L33" s="243"/>
      <c r="M33" s="244">
        <f t="shared" si="8"/>
        <v>0.52900766100000007</v>
      </c>
      <c r="N33" s="243">
        <f t="shared" si="9"/>
        <v>0.60682653999999991</v>
      </c>
      <c r="O33" s="243">
        <f t="shared" si="10"/>
        <v>0.40824965399999991</v>
      </c>
    </row>
    <row r="34" spans="2:16" x14ac:dyDescent="0.2">
      <c r="B34" s="239">
        <v>9</v>
      </c>
      <c r="C34" s="240" t="s">
        <v>477</v>
      </c>
      <c r="D34" s="241">
        <v>1800</v>
      </c>
      <c r="E34" s="245"/>
      <c r="F34" s="243">
        <f t="shared" si="5"/>
        <v>1.3584332669999999</v>
      </c>
      <c r="G34" s="243"/>
      <c r="H34" s="243"/>
      <c r="I34" s="244">
        <f t="shared" si="7"/>
        <v>1.3584332669999999</v>
      </c>
      <c r="J34" s="243">
        <f t="shared" si="6"/>
        <v>0.34954084900000004</v>
      </c>
      <c r="K34" s="246">
        <v>0.108628525</v>
      </c>
      <c r="L34" s="243"/>
      <c r="M34" s="244">
        <f t="shared" si="8"/>
        <v>0.45816937400000002</v>
      </c>
      <c r="N34" s="243">
        <f t="shared" si="9"/>
        <v>1.0088924179999998</v>
      </c>
      <c r="O34" s="243">
        <f t="shared" si="10"/>
        <v>0.90026389299999987</v>
      </c>
    </row>
    <row r="35" spans="2:16" x14ac:dyDescent="0.2">
      <c r="B35" s="239">
        <v>10</v>
      </c>
      <c r="C35" s="240" t="s">
        <v>410</v>
      </c>
      <c r="D35" s="241">
        <v>1900</v>
      </c>
      <c r="E35" s="245"/>
      <c r="F35" s="243">
        <f t="shared" si="5"/>
        <v>1.0453401950000001</v>
      </c>
      <c r="G35" s="243"/>
      <c r="H35" s="243"/>
      <c r="I35" s="244">
        <f t="shared" si="7"/>
        <v>1.0453401950000001</v>
      </c>
      <c r="J35" s="243">
        <f t="shared" si="6"/>
        <v>0.54694122000000001</v>
      </c>
      <c r="K35" s="246">
        <v>0.18535622900000001</v>
      </c>
      <c r="L35" s="243"/>
      <c r="M35" s="244">
        <f t="shared" si="8"/>
        <v>0.73229744900000004</v>
      </c>
      <c r="N35" s="243">
        <f t="shared" si="9"/>
        <v>0.49839897500000008</v>
      </c>
      <c r="O35" s="243">
        <f t="shared" si="10"/>
        <v>0.31304274600000004</v>
      </c>
    </row>
    <row r="36" spans="2:16" x14ac:dyDescent="0.2">
      <c r="B36" s="239">
        <v>11</v>
      </c>
      <c r="C36" s="240" t="s">
        <v>478</v>
      </c>
      <c r="D36" s="241">
        <v>2100</v>
      </c>
      <c r="E36" s="245"/>
      <c r="F36" s="243">
        <f t="shared" si="5"/>
        <v>2.7797886090000001</v>
      </c>
      <c r="G36" s="243"/>
      <c r="H36" s="243"/>
      <c r="I36" s="244">
        <f t="shared" si="7"/>
        <v>2.7797886090000001</v>
      </c>
      <c r="J36" s="243">
        <f t="shared" si="6"/>
        <v>0.82946355099999991</v>
      </c>
      <c r="K36" s="246">
        <v>0.69256424299999997</v>
      </c>
      <c r="L36" s="243"/>
      <c r="M36" s="244">
        <f t="shared" si="8"/>
        <v>1.522027794</v>
      </c>
      <c r="N36" s="243">
        <f t="shared" si="9"/>
        <v>1.9503250580000002</v>
      </c>
      <c r="O36" s="243">
        <f t="shared" si="10"/>
        <v>1.2577608150000001</v>
      </c>
    </row>
    <row r="37" spans="2:16" ht="15" x14ac:dyDescent="0.2">
      <c r="B37" s="239"/>
      <c r="C37" s="250" t="s">
        <v>139</v>
      </c>
      <c r="D37" s="250"/>
      <c r="E37" s="251">
        <f>IFERROR((K37-L37)/AVERAGE(F37,I37),0)</f>
        <v>3.2801804244737061E-2</v>
      </c>
      <c r="F37" s="252">
        <f>ROUND(SUM(F26:F36),2)</f>
        <v>7540.34</v>
      </c>
      <c r="G37" s="252">
        <f t="shared" ref="G37:O37" si="11">ROUND(SUM(G26:G36),2)</f>
        <v>39.22</v>
      </c>
      <c r="H37" s="252">
        <f t="shared" si="11"/>
        <v>0</v>
      </c>
      <c r="I37" s="252">
        <f t="shared" si="11"/>
        <v>7579.56</v>
      </c>
      <c r="J37" s="252">
        <f t="shared" si="11"/>
        <v>1377.1</v>
      </c>
      <c r="K37" s="252">
        <f t="shared" si="11"/>
        <v>247.98</v>
      </c>
      <c r="L37" s="252">
        <f t="shared" si="11"/>
        <v>0</v>
      </c>
      <c r="M37" s="252">
        <f t="shared" si="11"/>
        <v>1625.08</v>
      </c>
      <c r="N37" s="252">
        <f t="shared" si="11"/>
        <v>6163.24</v>
      </c>
      <c r="O37" s="252">
        <f t="shared" si="11"/>
        <v>5954.48</v>
      </c>
      <c r="P37" s="163"/>
    </row>
    <row r="38" spans="2:16" x14ac:dyDescent="0.2">
      <c r="F38" s="163"/>
      <c r="G38" s="163"/>
      <c r="H38" s="163"/>
      <c r="I38" s="163"/>
      <c r="J38" s="163"/>
      <c r="K38" s="163"/>
      <c r="L38" s="163"/>
      <c r="M38" s="163"/>
      <c r="N38" s="163"/>
      <c r="O38" s="163"/>
    </row>
    <row r="39" spans="2:16" ht="15" x14ac:dyDescent="0.2">
      <c r="B39" s="300" t="s">
        <v>467</v>
      </c>
      <c r="C39" s="300"/>
      <c r="D39" s="300"/>
      <c r="E39" s="300"/>
      <c r="F39" s="300"/>
      <c r="G39" s="300"/>
      <c r="H39" s="300"/>
      <c r="I39" s="300"/>
      <c r="J39" s="300"/>
      <c r="K39" s="300"/>
      <c r="L39" s="300"/>
      <c r="M39" s="300"/>
      <c r="N39" s="300"/>
      <c r="O39" s="300"/>
    </row>
    <row r="40" spans="2:16" ht="15" x14ac:dyDescent="0.2">
      <c r="B40" s="301" t="s">
        <v>2</v>
      </c>
      <c r="C40" s="302" t="s">
        <v>265</v>
      </c>
      <c r="D40" s="301" t="s">
        <v>254</v>
      </c>
      <c r="E40" s="301" t="s">
        <v>255</v>
      </c>
      <c r="F40" s="301" t="s">
        <v>256</v>
      </c>
      <c r="G40" s="301"/>
      <c r="H40" s="301"/>
      <c r="I40" s="301"/>
      <c r="J40" s="301" t="s">
        <v>257</v>
      </c>
      <c r="K40" s="301"/>
      <c r="L40" s="301"/>
      <c r="M40" s="301"/>
      <c r="N40" s="301" t="s">
        <v>258</v>
      </c>
      <c r="O40" s="301"/>
    </row>
    <row r="41" spans="2:16" ht="60" x14ac:dyDescent="0.2">
      <c r="B41" s="301"/>
      <c r="C41" s="302"/>
      <c r="D41" s="301"/>
      <c r="E41" s="301"/>
      <c r="F41" s="238" t="s">
        <v>259</v>
      </c>
      <c r="G41" s="238" t="s">
        <v>138</v>
      </c>
      <c r="H41" s="238" t="s">
        <v>260</v>
      </c>
      <c r="I41" s="238" t="s">
        <v>261</v>
      </c>
      <c r="J41" s="238" t="s">
        <v>262</v>
      </c>
      <c r="K41" s="238" t="s">
        <v>138</v>
      </c>
      <c r="L41" s="238" t="s">
        <v>263</v>
      </c>
      <c r="M41" s="238" t="s">
        <v>264</v>
      </c>
      <c r="N41" s="238" t="s">
        <v>259</v>
      </c>
      <c r="O41" s="238" t="s">
        <v>261</v>
      </c>
    </row>
    <row r="42" spans="2:16" x14ac:dyDescent="0.2">
      <c r="B42" s="239">
        <v>1</v>
      </c>
      <c r="C42" s="240" t="s">
        <v>469</v>
      </c>
      <c r="D42" s="241">
        <v>1010</v>
      </c>
      <c r="E42" s="242">
        <v>0</v>
      </c>
      <c r="F42" s="178">
        <f>I26</f>
        <v>132.55210700000001</v>
      </c>
      <c r="G42" s="178"/>
      <c r="H42" s="243"/>
      <c r="I42" s="244">
        <f>F42+G42+H42</f>
        <v>132.55210700000001</v>
      </c>
      <c r="J42" s="243">
        <f t="shared" ref="J42:J52" si="12">M26</f>
        <v>0</v>
      </c>
      <c r="K42" s="243">
        <v>0</v>
      </c>
      <c r="L42" s="243"/>
      <c r="M42" s="244">
        <f>J42+K42+L42</f>
        <v>0</v>
      </c>
      <c r="N42" s="243">
        <f>+F42-J42</f>
        <v>132.55210700000001</v>
      </c>
      <c r="O42" s="243">
        <f>+I42-M42</f>
        <v>132.55210700000001</v>
      </c>
    </row>
    <row r="43" spans="2:16" x14ac:dyDescent="0.2">
      <c r="B43" s="239">
        <v>2</v>
      </c>
      <c r="C43" s="240" t="s">
        <v>470</v>
      </c>
      <c r="D43" s="241">
        <v>1100</v>
      </c>
      <c r="E43" s="242"/>
      <c r="F43" s="178">
        <f t="shared" ref="F43:F52" si="13">I27</f>
        <v>644.43731669700003</v>
      </c>
      <c r="G43" s="178"/>
      <c r="H43" s="243"/>
      <c r="I43" s="244">
        <f t="shared" ref="I43:I52" si="14">F43+G43+H43</f>
        <v>644.43731669700003</v>
      </c>
      <c r="J43" s="243">
        <f t="shared" si="12"/>
        <v>117.97496828899999</v>
      </c>
      <c r="K43" s="243">
        <v>19.097349703999999</v>
      </c>
      <c r="L43" s="243"/>
      <c r="M43" s="244">
        <f t="shared" ref="M43:M52" si="15">J43+K43+L43</f>
        <v>137.07231799299998</v>
      </c>
      <c r="N43" s="243">
        <f t="shared" ref="N43:N52" si="16">+F43-J43</f>
        <v>526.46234840800003</v>
      </c>
      <c r="O43" s="243">
        <f t="shared" ref="O43:O52" si="17">+I43-M43</f>
        <v>507.36499870400007</v>
      </c>
    </row>
    <row r="44" spans="2:16" x14ac:dyDescent="0.2">
      <c r="B44" s="239">
        <v>3</v>
      </c>
      <c r="C44" s="240" t="s">
        <v>471</v>
      </c>
      <c r="D44" s="241">
        <v>1200</v>
      </c>
      <c r="E44" s="245"/>
      <c r="F44" s="178">
        <f t="shared" si="13"/>
        <v>661.87346243299999</v>
      </c>
      <c r="G44" s="178"/>
      <c r="H44" s="243"/>
      <c r="I44" s="244">
        <f t="shared" si="14"/>
        <v>661.87346243299999</v>
      </c>
      <c r="J44" s="243">
        <f t="shared" si="12"/>
        <v>140.647022163</v>
      </c>
      <c r="K44" s="243">
        <v>22.596717950999999</v>
      </c>
      <c r="L44" s="243"/>
      <c r="M44" s="244">
        <f t="shared" si="15"/>
        <v>163.24374011399999</v>
      </c>
      <c r="N44" s="243">
        <f t="shared" si="16"/>
        <v>521.22644027000001</v>
      </c>
      <c r="O44" s="243">
        <f t="shared" si="17"/>
        <v>498.629722319</v>
      </c>
    </row>
    <row r="45" spans="2:16" x14ac:dyDescent="0.2">
      <c r="B45" s="239">
        <v>4</v>
      </c>
      <c r="C45" s="240" t="s">
        <v>472</v>
      </c>
      <c r="D45" s="241">
        <v>1300</v>
      </c>
      <c r="E45" s="245"/>
      <c r="F45" s="178">
        <f t="shared" si="13"/>
        <v>5151.2712959580012</v>
      </c>
      <c r="G45" s="178">
        <v>110.13</v>
      </c>
      <c r="H45" s="243"/>
      <c r="I45" s="244">
        <f t="shared" si="14"/>
        <v>5261.4012959580014</v>
      </c>
      <c r="J45" s="243">
        <f t="shared" si="12"/>
        <v>1148.7484034070003</v>
      </c>
      <c r="K45" s="243">
        <v>183.163542052</v>
      </c>
      <c r="L45" s="243"/>
      <c r="M45" s="244">
        <f t="shared" si="15"/>
        <v>1331.9119454590002</v>
      </c>
      <c r="N45" s="243">
        <f t="shared" si="16"/>
        <v>4002.522892551001</v>
      </c>
      <c r="O45" s="243">
        <f t="shared" si="17"/>
        <v>3929.4893504990014</v>
      </c>
    </row>
    <row r="46" spans="2:16" x14ac:dyDescent="0.2">
      <c r="B46" s="239">
        <v>5</v>
      </c>
      <c r="C46" s="240" t="s">
        <v>473</v>
      </c>
      <c r="D46" s="241">
        <v>1400</v>
      </c>
      <c r="E46" s="245"/>
      <c r="F46" s="178">
        <f t="shared" si="13"/>
        <v>31.96</v>
      </c>
      <c r="G46" s="178"/>
      <c r="H46" s="243"/>
      <c r="I46" s="244">
        <f t="shared" si="14"/>
        <v>31.96</v>
      </c>
      <c r="J46" s="243">
        <f t="shared" si="12"/>
        <v>5.360670238</v>
      </c>
      <c r="K46" s="246">
        <v>1.3877911189999999</v>
      </c>
      <c r="L46" s="243"/>
      <c r="M46" s="244">
        <f t="shared" si="15"/>
        <v>6.748461357</v>
      </c>
      <c r="N46" s="243">
        <f t="shared" si="16"/>
        <v>26.599329762</v>
      </c>
      <c r="O46" s="243">
        <f t="shared" si="17"/>
        <v>25.211538643000001</v>
      </c>
    </row>
    <row r="47" spans="2:16" x14ac:dyDescent="0.2">
      <c r="B47" s="239">
        <v>6</v>
      </c>
      <c r="C47" s="240" t="s">
        <v>474</v>
      </c>
      <c r="D47" s="241">
        <v>1500</v>
      </c>
      <c r="E47" s="245"/>
      <c r="F47" s="178">
        <f t="shared" si="13"/>
        <v>822.77026141200008</v>
      </c>
      <c r="G47" s="178"/>
      <c r="H47" s="243"/>
      <c r="I47" s="244">
        <f t="shared" si="14"/>
        <v>822.77026141200008</v>
      </c>
      <c r="J47" s="243">
        <f t="shared" si="12"/>
        <v>194.48181538499998</v>
      </c>
      <c r="K47" s="246">
        <v>25.416164421000001</v>
      </c>
      <c r="L47" s="243"/>
      <c r="M47" s="244">
        <f t="shared" si="15"/>
        <v>219.89797980599997</v>
      </c>
      <c r="N47" s="243">
        <f t="shared" si="16"/>
        <v>628.28844602700008</v>
      </c>
      <c r="O47" s="243">
        <f t="shared" si="17"/>
        <v>602.87228160600012</v>
      </c>
    </row>
    <row r="48" spans="2:16" x14ac:dyDescent="0.2">
      <c r="B48" s="239">
        <v>7</v>
      </c>
      <c r="C48" s="240" t="s">
        <v>475</v>
      </c>
      <c r="D48" s="241">
        <v>1600</v>
      </c>
      <c r="E48" s="245"/>
      <c r="F48" s="178">
        <f t="shared" si="13"/>
        <v>128.57473711400002</v>
      </c>
      <c r="G48" s="178">
        <v>779</v>
      </c>
      <c r="H48" s="243"/>
      <c r="I48" s="244">
        <f t="shared" si="14"/>
        <v>907.57473711400007</v>
      </c>
      <c r="J48" s="243">
        <f t="shared" si="12"/>
        <v>14.62063238</v>
      </c>
      <c r="K48" s="246">
        <v>14.183308870000001</v>
      </c>
      <c r="L48" s="243"/>
      <c r="M48" s="244">
        <f t="shared" si="15"/>
        <v>28.803941250000001</v>
      </c>
      <c r="N48" s="243">
        <f t="shared" si="16"/>
        <v>113.95410473400001</v>
      </c>
      <c r="O48" s="243">
        <f t="shared" si="17"/>
        <v>878.77079586400009</v>
      </c>
    </row>
    <row r="49" spans="2:15" x14ac:dyDescent="0.2">
      <c r="B49" s="239">
        <v>8</v>
      </c>
      <c r="C49" s="240" t="s">
        <v>476</v>
      </c>
      <c r="D49" s="241">
        <v>1700</v>
      </c>
      <c r="E49" s="245"/>
      <c r="F49" s="178">
        <f t="shared" si="13"/>
        <v>0.93725731499999998</v>
      </c>
      <c r="G49" s="178"/>
      <c r="H49" s="243"/>
      <c r="I49" s="244">
        <f t="shared" si="14"/>
        <v>0.93725731499999998</v>
      </c>
      <c r="J49" s="243">
        <f t="shared" si="12"/>
        <v>0.52900766100000007</v>
      </c>
      <c r="K49" s="246">
        <v>0.19857688600000001</v>
      </c>
      <c r="L49" s="243"/>
      <c r="M49" s="244">
        <f t="shared" si="15"/>
        <v>0.72758454700000008</v>
      </c>
      <c r="N49" s="243">
        <f t="shared" si="16"/>
        <v>0.40824965399999991</v>
      </c>
      <c r="O49" s="243">
        <f t="shared" si="17"/>
        <v>0.2096727679999999</v>
      </c>
    </row>
    <row r="50" spans="2:15" x14ac:dyDescent="0.2">
      <c r="B50" s="239">
        <v>9</v>
      </c>
      <c r="C50" s="240" t="s">
        <v>477</v>
      </c>
      <c r="D50" s="241">
        <v>1800</v>
      </c>
      <c r="E50" s="245"/>
      <c r="F50" s="178">
        <f t="shared" si="13"/>
        <v>1.3584332669999999</v>
      </c>
      <c r="G50" s="178"/>
      <c r="H50" s="243"/>
      <c r="I50" s="244">
        <f t="shared" si="14"/>
        <v>1.3584332669999999</v>
      </c>
      <c r="J50" s="243">
        <f t="shared" si="12"/>
        <v>0.45816937400000002</v>
      </c>
      <c r="K50" s="246">
        <v>0.108628525</v>
      </c>
      <c r="L50" s="243"/>
      <c r="M50" s="244">
        <f t="shared" si="15"/>
        <v>0.56679789899999999</v>
      </c>
      <c r="N50" s="243">
        <f t="shared" si="16"/>
        <v>0.90026389299999987</v>
      </c>
      <c r="O50" s="243">
        <f t="shared" si="17"/>
        <v>0.79163536799999989</v>
      </c>
    </row>
    <row r="51" spans="2:15" x14ac:dyDescent="0.2">
      <c r="B51" s="239">
        <v>10</v>
      </c>
      <c r="C51" s="240" t="s">
        <v>410</v>
      </c>
      <c r="D51" s="241">
        <v>1900</v>
      </c>
      <c r="E51" s="245"/>
      <c r="F51" s="178">
        <f t="shared" si="13"/>
        <v>1.0453401950000001</v>
      </c>
      <c r="G51" s="178"/>
      <c r="H51" s="243"/>
      <c r="I51" s="244">
        <f t="shared" si="14"/>
        <v>1.0453401950000001</v>
      </c>
      <c r="J51" s="243">
        <f t="shared" si="12"/>
        <v>0.73229744900000004</v>
      </c>
      <c r="K51" s="246">
        <v>0.18535622900000001</v>
      </c>
      <c r="L51" s="243"/>
      <c r="M51" s="244">
        <f t="shared" si="15"/>
        <v>0.91765367800000008</v>
      </c>
      <c r="N51" s="243">
        <f t="shared" si="16"/>
        <v>0.31304274600000004</v>
      </c>
      <c r="O51" s="243">
        <f t="shared" si="17"/>
        <v>0.127686517</v>
      </c>
    </row>
    <row r="52" spans="2:15" x14ac:dyDescent="0.2">
      <c r="B52" s="239">
        <v>11</v>
      </c>
      <c r="C52" s="240" t="s">
        <v>478</v>
      </c>
      <c r="D52" s="241">
        <v>2100</v>
      </c>
      <c r="E52" s="245"/>
      <c r="F52" s="178">
        <f t="shared" si="13"/>
        <v>2.7797886090000001</v>
      </c>
      <c r="G52" s="178"/>
      <c r="H52" s="243"/>
      <c r="I52" s="244">
        <f t="shared" si="14"/>
        <v>2.7797886090000001</v>
      </c>
      <c r="J52" s="243">
        <f t="shared" si="12"/>
        <v>1.522027794</v>
      </c>
      <c r="K52" s="246">
        <v>0.69256424299999997</v>
      </c>
      <c r="L52" s="243"/>
      <c r="M52" s="244">
        <f t="shared" si="15"/>
        <v>2.2145920370000001</v>
      </c>
      <c r="N52" s="243">
        <f t="shared" si="16"/>
        <v>1.2577608150000001</v>
      </c>
      <c r="O52" s="243">
        <f t="shared" si="17"/>
        <v>0.56519657200000006</v>
      </c>
    </row>
    <row r="53" spans="2:15" s="49" customFormat="1" ht="15" x14ac:dyDescent="0.2">
      <c r="B53" s="241"/>
      <c r="C53" s="247" t="s">
        <v>139</v>
      </c>
      <c r="D53" s="247"/>
      <c r="E53" s="248">
        <f>IFERROR((K53-L53)/AVERAGE(F53,I53),0)</f>
        <v>3.3278394840558938E-2</v>
      </c>
      <c r="F53" s="249">
        <f>ROUND(SUM(F42:F52),2)</f>
        <v>7579.56</v>
      </c>
      <c r="G53" s="249">
        <f t="shared" ref="G53:O53" si="18">ROUND(SUM(G42:G52),2)</f>
        <v>889.13</v>
      </c>
      <c r="H53" s="249">
        <f t="shared" si="18"/>
        <v>0</v>
      </c>
      <c r="I53" s="249">
        <f t="shared" si="18"/>
        <v>8468.69</v>
      </c>
      <c r="J53" s="249">
        <f t="shared" si="18"/>
        <v>1625.08</v>
      </c>
      <c r="K53" s="249">
        <f t="shared" si="18"/>
        <v>267.02999999999997</v>
      </c>
      <c r="L53" s="249">
        <f t="shared" si="18"/>
        <v>0</v>
      </c>
      <c r="M53" s="249">
        <f t="shared" si="18"/>
        <v>1892.11</v>
      </c>
      <c r="N53" s="249">
        <f t="shared" si="18"/>
        <v>5954.48</v>
      </c>
      <c r="O53" s="249">
        <f t="shared" si="18"/>
        <v>6576.58</v>
      </c>
    </row>
  </sheetData>
  <mergeCells count="26">
    <mergeCell ref="G2:H2"/>
    <mergeCell ref="G3:H3"/>
    <mergeCell ref="J8:M8"/>
    <mergeCell ref="N8:O8"/>
    <mergeCell ref="B7:O7"/>
    <mergeCell ref="B8:B9"/>
    <mergeCell ref="C8:C9"/>
    <mergeCell ref="D8:D9"/>
    <mergeCell ref="E8:E9"/>
    <mergeCell ref="F8:I8"/>
    <mergeCell ref="B23:O23"/>
    <mergeCell ref="B24:B25"/>
    <mergeCell ref="C24:C25"/>
    <mergeCell ref="D24:D25"/>
    <mergeCell ref="E24:E25"/>
    <mergeCell ref="F24:I24"/>
    <mergeCell ref="J24:M24"/>
    <mergeCell ref="N24:O24"/>
    <mergeCell ref="B39:O39"/>
    <mergeCell ref="B40:B41"/>
    <mergeCell ref="C40:C41"/>
    <mergeCell ref="D40:D41"/>
    <mergeCell ref="E40:E41"/>
    <mergeCell ref="F40:I40"/>
    <mergeCell ref="J40:M40"/>
    <mergeCell ref="N40:O40"/>
  </mergeCells>
  <pageMargins left="0.27" right="0.25" top="0.25" bottom="0.25" header="0.25" footer="0.25"/>
  <pageSetup paperSize="9" scale="85" fitToHeight="0" orientation="landscape" r:id="rId1"/>
  <headerFooter alignWithMargins="0"/>
  <rowBreaks count="1" manualBreakCount="1">
    <brk id="2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9"/>
  <sheetViews>
    <sheetView view="pageBreakPreview" topLeftCell="A43" zoomScale="90" zoomScaleNormal="98" zoomScaleSheetLayoutView="90" workbookViewId="0">
      <selection activeCell="G66" sqref="G66"/>
    </sheetView>
  </sheetViews>
  <sheetFormatPr defaultColWidth="9.28515625" defaultRowHeight="14.25" x14ac:dyDescent="0.2"/>
  <cols>
    <col min="1" max="1" width="2.7109375" style="5" customWidth="1"/>
    <col min="2" max="2" width="5.28515625" style="5" customWidth="1"/>
    <col min="3" max="3" width="41.7109375" style="262" customWidth="1"/>
    <col min="4" max="4" width="10.5703125" style="5" customWidth="1"/>
    <col min="5" max="5" width="10" style="5" customWidth="1"/>
    <col min="6" max="6" width="14.28515625" style="5" customWidth="1"/>
    <col min="7" max="7" width="11.28515625" style="5" customWidth="1"/>
    <col min="8" max="8" width="9.5703125" style="5" customWidth="1"/>
    <col min="9" max="9" width="10.140625" style="5" customWidth="1"/>
    <col min="10" max="10" width="9.28515625" style="5" customWidth="1"/>
    <col min="11" max="13" width="11.7109375" style="5" bestFit="1" customWidth="1"/>
    <col min="14" max="16384" width="9.28515625" style="5"/>
  </cols>
  <sheetData>
    <row r="1" spans="2:10" ht="15" x14ac:dyDescent="0.2">
      <c r="B1" s="24"/>
    </row>
    <row r="2" spans="2:10" ht="14.25" customHeight="1" x14ac:dyDescent="0.2">
      <c r="D2" s="279" t="s">
        <v>403</v>
      </c>
      <c r="E2" s="279"/>
    </row>
    <row r="3" spans="2:10" ht="14.25" customHeight="1" x14ac:dyDescent="0.2">
      <c r="D3" s="279" t="str">
        <f>'F1'!$B$3</f>
        <v>BTPS</v>
      </c>
      <c r="E3" s="279"/>
    </row>
    <row r="4" spans="2:10" ht="15" x14ac:dyDescent="0.2">
      <c r="E4" s="35" t="s">
        <v>274</v>
      </c>
    </row>
    <row r="5" spans="2:10" ht="15" x14ac:dyDescent="0.2">
      <c r="B5" s="33" t="s">
        <v>57</v>
      </c>
      <c r="C5" s="60" t="s">
        <v>275</v>
      </c>
      <c r="J5" s="26" t="s">
        <v>4</v>
      </c>
    </row>
    <row r="6" spans="2:10" s="13" customFormat="1" ht="15" customHeight="1" x14ac:dyDescent="0.2">
      <c r="B6" s="283" t="s">
        <v>193</v>
      </c>
      <c r="C6" s="288" t="s">
        <v>18</v>
      </c>
      <c r="D6" s="290" t="s">
        <v>404</v>
      </c>
      <c r="E6" s="291"/>
      <c r="F6" s="292"/>
      <c r="G6" s="288" t="s">
        <v>405</v>
      </c>
      <c r="H6" s="288"/>
      <c r="I6" s="303" t="s">
        <v>467</v>
      </c>
      <c r="J6" s="304"/>
    </row>
    <row r="7" spans="2:10" s="13" customFormat="1" ht="45" x14ac:dyDescent="0.2">
      <c r="B7" s="284"/>
      <c r="C7" s="288"/>
      <c r="D7" s="15" t="s">
        <v>395</v>
      </c>
      <c r="E7" s="15" t="s">
        <v>240</v>
      </c>
      <c r="F7" s="15" t="s">
        <v>208</v>
      </c>
      <c r="G7" s="15" t="s">
        <v>395</v>
      </c>
      <c r="H7" s="15" t="s">
        <v>239</v>
      </c>
      <c r="I7" s="15" t="s">
        <v>395</v>
      </c>
      <c r="J7" s="15" t="s">
        <v>239</v>
      </c>
    </row>
    <row r="8" spans="2:10" s="13" customFormat="1" ht="60" x14ac:dyDescent="0.2">
      <c r="B8" s="285"/>
      <c r="C8" s="289"/>
      <c r="D8" s="15" t="s">
        <v>10</v>
      </c>
      <c r="E8" s="15" t="s">
        <v>12</v>
      </c>
      <c r="F8" s="15" t="s">
        <v>231</v>
      </c>
      <c r="G8" s="15" t="s">
        <v>10</v>
      </c>
      <c r="H8" s="15" t="s">
        <v>463</v>
      </c>
      <c r="I8" s="15" t="s">
        <v>10</v>
      </c>
      <c r="J8" s="15" t="s">
        <v>463</v>
      </c>
    </row>
    <row r="9" spans="2:10" ht="28.5" x14ac:dyDescent="0.2">
      <c r="B9" s="62">
        <v>1</v>
      </c>
      <c r="C9" s="66" t="s">
        <v>176</v>
      </c>
      <c r="D9" s="2"/>
      <c r="E9" s="119">
        <f>'F4'!F21*70%</f>
        <v>5211.6959999999999</v>
      </c>
      <c r="F9" s="119">
        <f>E9</f>
        <v>5211.6959999999999</v>
      </c>
      <c r="G9" s="21"/>
      <c r="H9" s="112">
        <f>E9+E13</f>
        <v>5282.991</v>
      </c>
      <c r="I9" s="21"/>
      <c r="J9" s="112">
        <f>H9+H13</f>
        <v>5312.4059999999999</v>
      </c>
    </row>
    <row r="10" spans="2:10" x14ac:dyDescent="0.2">
      <c r="B10" s="20">
        <f>B9+1</f>
        <v>2</v>
      </c>
      <c r="C10" s="66" t="s">
        <v>177</v>
      </c>
      <c r="D10" s="2"/>
      <c r="E10" s="119">
        <f>'F4'!J21</f>
        <v>1129.92</v>
      </c>
      <c r="F10" s="119">
        <f>E10</f>
        <v>1129.92</v>
      </c>
      <c r="G10" s="112"/>
      <c r="H10" s="112">
        <f>'F4'!J37</f>
        <v>1377.1</v>
      </c>
      <c r="I10" s="21"/>
      <c r="J10" s="112">
        <f>H10+H14</f>
        <v>1625.08</v>
      </c>
    </row>
    <row r="11" spans="2:10" ht="15" x14ac:dyDescent="0.2">
      <c r="B11" s="20">
        <f t="shared" ref="B11:B21" si="0">B10+1</f>
        <v>3</v>
      </c>
      <c r="C11" s="37" t="s">
        <v>178</v>
      </c>
      <c r="D11" s="116">
        <f>D9-D10</f>
        <v>0</v>
      </c>
      <c r="E11" s="116">
        <f>IF((E9-E10)&lt;0,0,(E9-E10))</f>
        <v>4081.7759999999998</v>
      </c>
      <c r="F11" s="116">
        <f>IF((F9-F10)&lt;0,0,(F9-F10))</f>
        <v>4081.7759999999998</v>
      </c>
      <c r="G11" s="116">
        <f>IF((G9-G10)&lt;0,0,(G9-G10))</f>
        <v>0</v>
      </c>
      <c r="H11" s="116">
        <f>IF((H9-H10)&lt;0,0,(H9-H10))</f>
        <v>3905.8910000000001</v>
      </c>
      <c r="I11" s="116"/>
      <c r="J11" s="116">
        <f>IF((J9-J10)&lt;0,0,(J9-J10))</f>
        <v>3687.326</v>
      </c>
    </row>
    <row r="12" spans="2:10" ht="28.5" x14ac:dyDescent="0.2">
      <c r="B12" s="20">
        <f t="shared" si="0"/>
        <v>4</v>
      </c>
      <c r="C12" s="66" t="s">
        <v>179</v>
      </c>
      <c r="D12" s="118"/>
      <c r="E12" s="118"/>
      <c r="F12" s="118"/>
      <c r="G12" s="118"/>
      <c r="H12" s="118"/>
      <c r="I12" s="118"/>
      <c r="J12" s="118"/>
    </row>
    <row r="13" spans="2:10" s="32" customFormat="1" ht="28.5" x14ac:dyDescent="0.2">
      <c r="B13" s="20">
        <f t="shared" si="0"/>
        <v>5</v>
      </c>
      <c r="C13" s="37" t="s">
        <v>400</v>
      </c>
      <c r="D13" s="118"/>
      <c r="E13" s="125">
        <f>'F3'!E12*75%</f>
        <v>71.295000000000002</v>
      </c>
      <c r="F13" s="125">
        <f>'F3'!F12*75%</f>
        <v>71.295000000000002</v>
      </c>
      <c r="G13" s="125">
        <f>'F3'!G12*75%</f>
        <v>0</v>
      </c>
      <c r="H13" s="125">
        <f>'F3'!H12*75%</f>
        <v>29.414999999999999</v>
      </c>
      <c r="I13" s="125">
        <f>'F3'!I12*75%</f>
        <v>0</v>
      </c>
      <c r="J13" s="125">
        <f>'F3'!J12*75%</f>
        <v>666.84749999999997</v>
      </c>
    </row>
    <row r="14" spans="2:10" ht="28.5" x14ac:dyDescent="0.2">
      <c r="B14" s="20">
        <f t="shared" si="0"/>
        <v>6</v>
      </c>
      <c r="C14" s="66" t="s">
        <v>184</v>
      </c>
      <c r="D14" s="133"/>
      <c r="E14" s="133">
        <f>'F1'!G11</f>
        <v>247.18</v>
      </c>
      <c r="F14" s="133">
        <f>'F1'!H11</f>
        <v>247.18</v>
      </c>
      <c r="G14" s="133"/>
      <c r="H14" s="133">
        <f>'F1'!J11</f>
        <v>247.98</v>
      </c>
      <c r="I14" s="133"/>
      <c r="J14" s="133">
        <f>'F1'!L11</f>
        <v>267.02999999999997</v>
      </c>
    </row>
    <row r="15" spans="2:10" ht="15" x14ac:dyDescent="0.2">
      <c r="B15" s="20">
        <f t="shared" si="0"/>
        <v>7</v>
      </c>
      <c r="C15" s="66" t="s">
        <v>180</v>
      </c>
      <c r="D15" s="116"/>
      <c r="E15" s="116">
        <f>IF((E11-E12+E13-E14)&lt;0,0,(E11-E12+E13-E14))</f>
        <v>3905.8910000000001</v>
      </c>
      <c r="F15" s="116">
        <f>IF((F11-F12+F13-F14)&lt;0,0,(F11-F12+F13-F14))</f>
        <v>3905.8910000000001</v>
      </c>
      <c r="G15" s="116"/>
      <c r="H15" s="116">
        <f>IF((H11-H12+H13-H14)&lt;0,0,(H11-H12+H13-H14))</f>
        <v>3687.326</v>
      </c>
      <c r="I15" s="116"/>
      <c r="J15" s="116">
        <f>IF((J11-J12+J13-J14)&lt;0,0,(J11-J12+J13-J14))</f>
        <v>4087.1435000000001</v>
      </c>
    </row>
    <row r="16" spans="2:10" ht="28.5" x14ac:dyDescent="0.2">
      <c r="B16" s="20">
        <f t="shared" si="0"/>
        <v>8</v>
      </c>
      <c r="C16" s="66" t="s">
        <v>181</v>
      </c>
      <c r="D16" s="116"/>
      <c r="E16" s="116">
        <f t="shared" ref="E16:J16" si="1">E9-E12+E13-E14</f>
        <v>5035.8109999999997</v>
      </c>
      <c r="F16" s="116">
        <f t="shared" si="1"/>
        <v>5035.8109999999997</v>
      </c>
      <c r="G16" s="116"/>
      <c r="H16" s="116">
        <f t="shared" si="1"/>
        <v>5064.4260000000004</v>
      </c>
      <c r="I16" s="116"/>
      <c r="J16" s="116">
        <f t="shared" si="1"/>
        <v>5712.2235000000001</v>
      </c>
    </row>
    <row r="17" spans="2:10" ht="15" x14ac:dyDescent="0.2">
      <c r="B17" s="20">
        <f t="shared" si="0"/>
        <v>9</v>
      </c>
      <c r="C17" s="66" t="s">
        <v>214</v>
      </c>
      <c r="D17" s="116"/>
      <c r="E17" s="116">
        <f t="shared" ref="E17:J17" si="2">AVERAGE(E11,E15)</f>
        <v>3993.8334999999997</v>
      </c>
      <c r="F17" s="116">
        <f t="shared" si="2"/>
        <v>3993.8334999999997</v>
      </c>
      <c r="G17" s="116"/>
      <c r="H17" s="116">
        <f t="shared" si="2"/>
        <v>3796.6085000000003</v>
      </c>
      <c r="I17" s="116"/>
      <c r="J17" s="116">
        <f t="shared" si="2"/>
        <v>3887.2347500000001</v>
      </c>
    </row>
    <row r="18" spans="2:10" ht="31.5" customHeight="1" x14ac:dyDescent="0.2">
      <c r="B18" s="20">
        <f t="shared" si="0"/>
        <v>10</v>
      </c>
      <c r="C18" s="66" t="s">
        <v>213</v>
      </c>
      <c r="D18" s="117"/>
      <c r="E18" s="117">
        <v>9.98E-2</v>
      </c>
      <c r="F18" s="117">
        <f>E18</f>
        <v>9.98E-2</v>
      </c>
      <c r="G18" s="117"/>
      <c r="H18" s="117">
        <v>0.1019</v>
      </c>
      <c r="I18" s="117"/>
      <c r="J18" s="117">
        <v>0.1018</v>
      </c>
    </row>
    <row r="19" spans="2:10" ht="15" x14ac:dyDescent="0.2">
      <c r="B19" s="20">
        <f t="shared" si="0"/>
        <v>11</v>
      </c>
      <c r="C19" s="66" t="s">
        <v>276</v>
      </c>
      <c r="D19" s="116">
        <f>D17*D18</f>
        <v>0</v>
      </c>
      <c r="E19" s="116">
        <f>ROUND(E17*E18,2)</f>
        <v>398.58</v>
      </c>
      <c r="F19" s="116">
        <f t="shared" ref="F19:J19" si="3">ROUND(F17*F18,2)</f>
        <v>398.58</v>
      </c>
      <c r="G19" s="116">
        <f t="shared" si="3"/>
        <v>0</v>
      </c>
      <c r="H19" s="116">
        <f t="shared" si="3"/>
        <v>386.87</v>
      </c>
      <c r="I19" s="116">
        <f t="shared" si="3"/>
        <v>0</v>
      </c>
      <c r="J19" s="116">
        <f t="shared" si="3"/>
        <v>395.72</v>
      </c>
    </row>
    <row r="20" spans="2:10" x14ac:dyDescent="0.2">
      <c r="B20" s="20">
        <f t="shared" si="0"/>
        <v>12</v>
      </c>
      <c r="C20" s="66" t="s">
        <v>279</v>
      </c>
      <c r="D20" s="67"/>
      <c r="E20" s="67"/>
      <c r="F20" s="67"/>
      <c r="G20" s="67"/>
      <c r="H20" s="67"/>
      <c r="I20" s="67"/>
      <c r="J20" s="67"/>
    </row>
    <row r="21" spans="2:10" ht="15" x14ac:dyDescent="0.2">
      <c r="B21" s="20">
        <f t="shared" si="0"/>
        <v>13</v>
      </c>
      <c r="C21" s="66" t="s">
        <v>280</v>
      </c>
      <c r="D21" s="116">
        <v>387.89</v>
      </c>
      <c r="E21" s="116">
        <f>IF((E19+E20)&lt;0,0,(E19+E20))</f>
        <v>398.58</v>
      </c>
      <c r="F21" s="116">
        <f>IF((F19+F20)&lt;0,0,(F19+F20))</f>
        <v>398.58</v>
      </c>
      <c r="G21" s="116">
        <v>372.99</v>
      </c>
      <c r="H21" s="116">
        <f>IF((H19+H20)&lt;0,0,(H19+H20))</f>
        <v>386.87</v>
      </c>
      <c r="I21" s="116">
        <v>343.91</v>
      </c>
      <c r="J21" s="116">
        <f>IF((J19+J20)&lt;0,0,(J19+J20))</f>
        <v>395.72</v>
      </c>
    </row>
    <row r="22" spans="2:10" x14ac:dyDescent="0.2">
      <c r="B22" s="34"/>
      <c r="C22" s="262" t="s">
        <v>242</v>
      </c>
    </row>
    <row r="23" spans="2:10" ht="42.75" x14ac:dyDescent="0.2">
      <c r="C23" s="262" t="s">
        <v>401</v>
      </c>
    </row>
    <row r="24" spans="2:10" ht="5.25" customHeight="1" x14ac:dyDescent="0.2"/>
    <row r="25" spans="2:10" ht="12" customHeight="1" x14ac:dyDescent="0.2">
      <c r="B25" s="33" t="s">
        <v>62</v>
      </c>
      <c r="C25" s="60" t="s">
        <v>277</v>
      </c>
    </row>
    <row r="26" spans="2:10" ht="27.75" customHeight="1" x14ac:dyDescent="0.2">
      <c r="B26" s="283" t="s">
        <v>193</v>
      </c>
      <c r="C26" s="288" t="s">
        <v>18</v>
      </c>
      <c r="D26" s="261" t="s">
        <v>404</v>
      </c>
      <c r="E26" s="261" t="s">
        <v>494</v>
      </c>
      <c r="F26" s="15" t="s">
        <v>467</v>
      </c>
    </row>
    <row r="27" spans="2:10" ht="12.75" customHeight="1" x14ac:dyDescent="0.2">
      <c r="B27" s="284"/>
      <c r="C27" s="288"/>
      <c r="D27" s="15" t="s">
        <v>240</v>
      </c>
      <c r="E27" s="15" t="s">
        <v>239</v>
      </c>
      <c r="F27" s="15" t="s">
        <v>239</v>
      </c>
    </row>
    <row r="28" spans="2:10" ht="12.75" customHeight="1" x14ac:dyDescent="0.2">
      <c r="B28" s="285"/>
      <c r="C28" s="289"/>
      <c r="D28" s="15" t="s">
        <v>12</v>
      </c>
      <c r="E28" s="15" t="s">
        <v>5</v>
      </c>
      <c r="F28" s="15" t="s">
        <v>8</v>
      </c>
    </row>
    <row r="29" spans="2:10" ht="15" x14ac:dyDescent="0.2">
      <c r="B29" s="20">
        <v>1</v>
      </c>
      <c r="C29" s="161" t="s">
        <v>489</v>
      </c>
      <c r="D29" s="27"/>
      <c r="E29" s="27"/>
      <c r="F29" s="27"/>
    </row>
    <row r="30" spans="2:10" x14ac:dyDescent="0.2">
      <c r="B30" s="27"/>
      <c r="C30" s="66" t="s">
        <v>13</v>
      </c>
      <c r="D30" s="27">
        <v>5427.32</v>
      </c>
      <c r="E30" s="263">
        <v>5036.67</v>
      </c>
      <c r="F30" s="265">
        <v>4832.2300000000005</v>
      </c>
    </row>
    <row r="31" spans="2:10" x14ac:dyDescent="0.2">
      <c r="B31" s="27"/>
      <c r="C31" s="66" t="s">
        <v>168</v>
      </c>
      <c r="D31" s="27">
        <v>18.96</v>
      </c>
      <c r="E31" s="264">
        <v>216.35</v>
      </c>
      <c r="F31" s="265">
        <v>0</v>
      </c>
    </row>
    <row r="32" spans="2:10" x14ac:dyDescent="0.2">
      <c r="B32" s="27"/>
      <c r="C32" s="66" t="s">
        <v>14</v>
      </c>
      <c r="D32" s="27">
        <v>409.61</v>
      </c>
      <c r="E32" s="264">
        <v>420.78999999999996</v>
      </c>
      <c r="F32" s="265">
        <v>429.53</v>
      </c>
    </row>
    <row r="33" spans="2:6" ht="15" x14ac:dyDescent="0.2">
      <c r="B33" s="27"/>
      <c r="C33" s="66" t="s">
        <v>15</v>
      </c>
      <c r="D33" s="114">
        <f>D30+D31-D32</f>
        <v>5036.67</v>
      </c>
      <c r="E33" s="266">
        <f>E30+E31-E32</f>
        <v>4832.2300000000005</v>
      </c>
      <c r="F33" s="266">
        <f>F30+F31-F32</f>
        <v>4402.7000000000007</v>
      </c>
    </row>
    <row r="34" spans="2:6" ht="15" x14ac:dyDescent="0.2">
      <c r="B34" s="27"/>
      <c r="C34" s="66" t="s">
        <v>215</v>
      </c>
      <c r="D34" s="114">
        <v>5222.8100000000004</v>
      </c>
      <c r="E34" s="266">
        <f>E36/E35*100</f>
        <v>4882.6470588235297</v>
      </c>
      <c r="F34" s="266">
        <f>F36/F35*100</f>
        <v>4636.5686274509808</v>
      </c>
    </row>
    <row r="35" spans="2:6" x14ac:dyDescent="0.2">
      <c r="B35" s="27"/>
      <c r="C35" s="66" t="s">
        <v>16</v>
      </c>
      <c r="D35" s="119">
        <f>D36/D34*100</f>
        <v>9.9511565613146953</v>
      </c>
      <c r="E35" s="267">
        <v>10.199999999999999</v>
      </c>
      <c r="F35" s="267">
        <v>10.199999999999999</v>
      </c>
    </row>
    <row r="36" spans="2:6" ht="15" x14ac:dyDescent="0.2">
      <c r="B36" s="27"/>
      <c r="C36" s="66" t="s">
        <v>276</v>
      </c>
      <c r="D36" s="114">
        <v>519.73</v>
      </c>
      <c r="E36" s="266">
        <v>498.03</v>
      </c>
      <c r="F36" s="266">
        <v>472.93</v>
      </c>
    </row>
    <row r="37" spans="2:6" x14ac:dyDescent="0.2">
      <c r="B37" s="27"/>
      <c r="C37" s="66" t="s">
        <v>279</v>
      </c>
      <c r="D37" s="119">
        <v>0</v>
      </c>
      <c r="E37" s="267"/>
      <c r="F37" s="267"/>
    </row>
    <row r="38" spans="2:6" ht="15" x14ac:dyDescent="0.2">
      <c r="B38" s="27"/>
      <c r="C38" s="66" t="s">
        <v>280</v>
      </c>
      <c r="D38" s="114">
        <f>D36+D37</f>
        <v>519.73</v>
      </c>
      <c r="E38" s="266">
        <f>E36+E37</f>
        <v>498.03</v>
      </c>
      <c r="F38" s="266">
        <f>F36+F37</f>
        <v>472.93</v>
      </c>
    </row>
    <row r="39" spans="2:6" ht="30" x14ac:dyDescent="0.2">
      <c r="B39" s="20">
        <v>2</v>
      </c>
      <c r="C39" s="161" t="s">
        <v>490</v>
      </c>
      <c r="D39" s="119"/>
      <c r="E39" s="119"/>
      <c r="F39" s="119"/>
    </row>
    <row r="40" spans="2:6" x14ac:dyDescent="0.2">
      <c r="B40" s="27"/>
      <c r="C40" s="66" t="s">
        <v>13</v>
      </c>
      <c r="D40" s="119">
        <v>418.12</v>
      </c>
      <c r="E40" s="119">
        <v>210.92000000000002</v>
      </c>
      <c r="F40" s="119">
        <v>196.46</v>
      </c>
    </row>
    <row r="41" spans="2:6" x14ac:dyDescent="0.2">
      <c r="B41" s="27"/>
      <c r="C41" s="66" t="s">
        <v>168</v>
      </c>
      <c r="D41" s="119">
        <v>0</v>
      </c>
      <c r="E41" s="119">
        <v>0</v>
      </c>
      <c r="F41" s="119">
        <v>0</v>
      </c>
    </row>
    <row r="42" spans="2:6" x14ac:dyDescent="0.2">
      <c r="B42" s="27"/>
      <c r="C42" s="66" t="s">
        <v>14</v>
      </c>
      <c r="D42" s="119">
        <v>207.2</v>
      </c>
      <c r="E42" s="119">
        <v>14.46</v>
      </c>
      <c r="F42" s="119">
        <v>14.46</v>
      </c>
    </row>
    <row r="43" spans="2:6" ht="15" x14ac:dyDescent="0.2">
      <c r="B43" s="27"/>
      <c r="C43" s="66" t="s">
        <v>15</v>
      </c>
      <c r="D43" s="114">
        <f>D40+D41-D42</f>
        <v>210.92000000000002</v>
      </c>
      <c r="E43" s="114">
        <f>E40+E41-E42</f>
        <v>196.46</v>
      </c>
      <c r="F43" s="114">
        <f>F40+F41-F42</f>
        <v>182</v>
      </c>
    </row>
    <row r="44" spans="2:6" ht="15" x14ac:dyDescent="0.2">
      <c r="B44" s="27"/>
      <c r="C44" s="66" t="s">
        <v>215</v>
      </c>
      <c r="D44" s="114">
        <v>298.92</v>
      </c>
      <c r="E44" s="114">
        <v>205.49363176765326</v>
      </c>
      <c r="F44" s="114">
        <v>189.84293193717275</v>
      </c>
    </row>
    <row r="45" spans="2:6" x14ac:dyDescent="0.2">
      <c r="B45" s="27"/>
      <c r="C45" s="66" t="s">
        <v>16</v>
      </c>
      <c r="D45" s="119">
        <v>10.47</v>
      </c>
      <c r="E45" s="119">
        <v>10.024641553511463</v>
      </c>
      <c r="F45" s="119">
        <v>9.5500000000000007</v>
      </c>
    </row>
    <row r="46" spans="2:6" ht="15" x14ac:dyDescent="0.2">
      <c r="B46" s="27"/>
      <c r="C46" s="66" t="s">
        <v>276</v>
      </c>
      <c r="D46" s="114">
        <v>31.31</v>
      </c>
      <c r="E46" s="114">
        <v>20.6</v>
      </c>
      <c r="F46" s="114">
        <v>18.13</v>
      </c>
    </row>
    <row r="47" spans="2:6" x14ac:dyDescent="0.2">
      <c r="B47" s="27"/>
      <c r="C47" s="66" t="s">
        <v>279</v>
      </c>
      <c r="D47" s="119">
        <v>0</v>
      </c>
      <c r="E47" s="119">
        <v>0</v>
      </c>
      <c r="F47" s="119">
        <v>0</v>
      </c>
    </row>
    <row r="48" spans="2:6" ht="15" x14ac:dyDescent="0.2">
      <c r="B48" s="27"/>
      <c r="C48" s="66" t="s">
        <v>280</v>
      </c>
      <c r="D48" s="114">
        <f>D46+D47</f>
        <v>31.31</v>
      </c>
      <c r="E48" s="114">
        <f>E46+E47</f>
        <v>20.6</v>
      </c>
      <c r="F48" s="114">
        <f>F46+F47</f>
        <v>18.13</v>
      </c>
    </row>
    <row r="49" spans="2:6" ht="3" customHeight="1" x14ac:dyDescent="0.2">
      <c r="B49" s="27"/>
      <c r="C49" s="66" t="s">
        <v>278</v>
      </c>
      <c r="D49" s="119"/>
      <c r="E49" s="119"/>
      <c r="F49" s="119"/>
    </row>
    <row r="50" spans="2:6" ht="15" x14ac:dyDescent="0.2">
      <c r="B50" s="268">
        <v>3</v>
      </c>
      <c r="C50" s="161" t="s">
        <v>491</v>
      </c>
      <c r="D50" s="119"/>
      <c r="E50" s="119"/>
      <c r="F50" s="119"/>
    </row>
    <row r="51" spans="2:6" x14ac:dyDescent="0.2">
      <c r="B51" s="27"/>
      <c r="C51" s="66" t="s">
        <v>13</v>
      </c>
      <c r="D51" s="119"/>
      <c r="E51" s="119">
        <v>0</v>
      </c>
      <c r="F51" s="119">
        <v>315.82</v>
      </c>
    </row>
    <row r="52" spans="2:6" x14ac:dyDescent="0.2">
      <c r="B52" s="27"/>
      <c r="C52" s="66" t="s">
        <v>168</v>
      </c>
      <c r="D52" s="119"/>
      <c r="E52" s="119">
        <v>315.82</v>
      </c>
      <c r="F52" s="119">
        <v>87.7</v>
      </c>
    </row>
    <row r="53" spans="2:6" x14ac:dyDescent="0.2">
      <c r="B53" s="27"/>
      <c r="C53" s="66" t="s">
        <v>14</v>
      </c>
      <c r="D53" s="119"/>
      <c r="E53" s="119">
        <v>0</v>
      </c>
      <c r="F53" s="119">
        <v>7.21</v>
      </c>
    </row>
    <row r="54" spans="2:6" ht="15" x14ac:dyDescent="0.2">
      <c r="B54" s="27"/>
      <c r="C54" s="66" t="s">
        <v>15</v>
      </c>
      <c r="D54" s="114"/>
      <c r="E54" s="114">
        <f>E51+E52-E53</f>
        <v>315.82</v>
      </c>
      <c r="F54" s="114">
        <f>F51+F52-F53</f>
        <v>396.31</v>
      </c>
    </row>
    <row r="55" spans="2:6" ht="15" x14ac:dyDescent="0.2">
      <c r="B55" s="27"/>
      <c r="C55" s="66" t="s">
        <v>215</v>
      </c>
      <c r="D55" s="114"/>
      <c r="E55" s="114">
        <v>106.23655913978493</v>
      </c>
      <c r="F55" s="114">
        <v>388.17204301075265</v>
      </c>
    </row>
    <row r="56" spans="2:6" x14ac:dyDescent="0.2">
      <c r="B56" s="27"/>
      <c r="C56" s="66" t="s">
        <v>16</v>
      </c>
      <c r="D56" s="119"/>
      <c r="E56" s="119">
        <v>9.3000000000000007</v>
      </c>
      <c r="F56" s="119">
        <v>9.3000000000000007</v>
      </c>
    </row>
    <row r="57" spans="2:6" ht="15" x14ac:dyDescent="0.2">
      <c r="B57" s="27"/>
      <c r="C57" s="66" t="s">
        <v>276</v>
      </c>
      <c r="D57" s="114"/>
      <c r="E57" s="114">
        <v>9.8800000000000008</v>
      </c>
      <c r="F57" s="114">
        <v>36.1</v>
      </c>
    </row>
    <row r="58" spans="2:6" x14ac:dyDescent="0.2">
      <c r="B58" s="27"/>
      <c r="C58" s="66" t="s">
        <v>279</v>
      </c>
      <c r="D58" s="119"/>
      <c r="E58" s="119">
        <v>0</v>
      </c>
      <c r="F58" s="119">
        <v>0</v>
      </c>
    </row>
    <row r="59" spans="2:6" ht="15" x14ac:dyDescent="0.2">
      <c r="B59" s="27"/>
      <c r="C59" s="66" t="s">
        <v>280</v>
      </c>
      <c r="D59" s="114"/>
      <c r="E59" s="114">
        <f>E57+E58</f>
        <v>9.8800000000000008</v>
      </c>
      <c r="F59" s="114">
        <f>F57+F58</f>
        <v>36.1</v>
      </c>
    </row>
    <row r="60" spans="2:6" ht="12" customHeight="1" x14ac:dyDescent="0.2">
      <c r="B60" s="20"/>
      <c r="C60" s="68" t="s">
        <v>139</v>
      </c>
      <c r="D60" s="119"/>
      <c r="E60" s="119"/>
      <c r="F60" s="119"/>
    </row>
    <row r="61" spans="2:6" ht="15" x14ac:dyDescent="0.2">
      <c r="B61" s="27"/>
      <c r="C61" s="66" t="s">
        <v>13</v>
      </c>
      <c r="D61" s="266">
        <f>D30+D40+D51</f>
        <v>5845.44</v>
      </c>
      <c r="E61" s="266">
        <f t="shared" ref="E61:F61" si="4">E30+E40+E51</f>
        <v>5247.59</v>
      </c>
      <c r="F61" s="266">
        <f t="shared" si="4"/>
        <v>5344.51</v>
      </c>
    </row>
    <row r="62" spans="2:6" ht="15" x14ac:dyDescent="0.2">
      <c r="B62" s="27"/>
      <c r="C62" s="66" t="s">
        <v>168</v>
      </c>
      <c r="D62" s="266">
        <f t="shared" ref="D62:F63" si="5">D31+D41+D52</f>
        <v>18.96</v>
      </c>
      <c r="E62" s="266">
        <f t="shared" si="5"/>
        <v>532.16999999999996</v>
      </c>
      <c r="F62" s="266">
        <f t="shared" si="5"/>
        <v>87.7</v>
      </c>
    </row>
    <row r="63" spans="2:6" ht="15" x14ac:dyDescent="0.2">
      <c r="B63" s="27"/>
      <c r="C63" s="66" t="s">
        <v>14</v>
      </c>
      <c r="D63" s="266">
        <f t="shared" si="5"/>
        <v>616.80999999999995</v>
      </c>
      <c r="E63" s="266">
        <f t="shared" si="5"/>
        <v>435.24999999999994</v>
      </c>
      <c r="F63" s="266">
        <f t="shared" si="5"/>
        <v>451.19999999999993</v>
      </c>
    </row>
    <row r="64" spans="2:6" ht="15" x14ac:dyDescent="0.2">
      <c r="B64" s="27"/>
      <c r="C64" s="66" t="s">
        <v>15</v>
      </c>
      <c r="D64" s="266">
        <f>D61+D62-D63</f>
        <v>5247.59</v>
      </c>
      <c r="E64" s="266">
        <f t="shared" ref="E64:F64" si="6">E61+E62-E63</f>
        <v>5344.51</v>
      </c>
      <c r="F64" s="266">
        <f t="shared" si="6"/>
        <v>4981.01</v>
      </c>
    </row>
    <row r="65" spans="2:6" ht="15" x14ac:dyDescent="0.2">
      <c r="B65" s="27"/>
      <c r="C65" s="66" t="s">
        <v>215</v>
      </c>
      <c r="D65" s="266">
        <f>D34+D44+D55</f>
        <v>5521.7300000000005</v>
      </c>
      <c r="E65" s="266">
        <f t="shared" ref="E65:F65" si="7">E34+E44+E55</f>
        <v>5194.3772497309674</v>
      </c>
      <c r="F65" s="266">
        <f t="shared" si="7"/>
        <v>5214.5836023989059</v>
      </c>
    </row>
    <row r="66" spans="2:6" ht="15" x14ac:dyDescent="0.2">
      <c r="B66" s="27"/>
      <c r="C66" s="66" t="s">
        <v>16</v>
      </c>
      <c r="D66" s="266">
        <f>D67/D65*100</f>
        <v>9.9794810684332624</v>
      </c>
      <c r="E66" s="266">
        <f t="shared" ref="E66:F66" si="8">E67/E65*100</f>
        <v>10.174655682302882</v>
      </c>
      <c r="F66" s="266">
        <f t="shared" si="8"/>
        <v>10.10934026942221</v>
      </c>
    </row>
    <row r="67" spans="2:6" ht="15" x14ac:dyDescent="0.2">
      <c r="B67" s="27"/>
      <c r="C67" s="66" t="s">
        <v>276</v>
      </c>
      <c r="D67" s="266">
        <f>D36+D46+D57</f>
        <v>551.04</v>
      </c>
      <c r="E67" s="266">
        <f t="shared" ref="E67:F67" si="9">E36+E46+E57</f>
        <v>528.51</v>
      </c>
      <c r="F67" s="266">
        <f t="shared" si="9"/>
        <v>527.16</v>
      </c>
    </row>
    <row r="68" spans="2:6" ht="15" x14ac:dyDescent="0.2">
      <c r="B68" s="27"/>
      <c r="C68" s="66" t="s">
        <v>279</v>
      </c>
      <c r="D68" s="266">
        <f>D37+D47+D58</f>
        <v>0</v>
      </c>
      <c r="E68" s="266">
        <f t="shared" ref="E68:F68" si="10">E37+E47+E58</f>
        <v>0</v>
      </c>
      <c r="F68" s="266">
        <f t="shared" si="10"/>
        <v>0</v>
      </c>
    </row>
    <row r="69" spans="2:6" ht="15" x14ac:dyDescent="0.2">
      <c r="B69" s="27"/>
      <c r="C69" s="66" t="s">
        <v>280</v>
      </c>
      <c r="D69" s="266">
        <f>D67+D68</f>
        <v>551.04</v>
      </c>
      <c r="E69" s="266">
        <f>E67+E68</f>
        <v>528.51</v>
      </c>
      <c r="F69" s="266">
        <f>F67+F68</f>
        <v>527.16</v>
      </c>
    </row>
  </sheetData>
  <mergeCells count="9">
    <mergeCell ref="D2:E2"/>
    <mergeCell ref="D3:E3"/>
    <mergeCell ref="B26:B28"/>
    <mergeCell ref="C26:C28"/>
    <mergeCell ref="I6:J6"/>
    <mergeCell ref="B6:B8"/>
    <mergeCell ref="C6:C8"/>
    <mergeCell ref="D6:F6"/>
    <mergeCell ref="G6:H6"/>
  </mergeCells>
  <pageMargins left="0.27559055118110237" right="0.23622047244094491" top="0.23622047244094491" bottom="0.23622047244094491" header="0.23622047244094491" footer="0.23622047244094491"/>
  <pageSetup paperSize="9" scale="91" fitToHeight="0" orientation="landscape" r:id="rId1"/>
  <headerFooter alignWithMargins="0"/>
  <rowBreaks count="1" manualBreakCount="1">
    <brk id="3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2"/>
  <sheetViews>
    <sheetView showGridLines="0" zoomScale="95" zoomScaleNormal="95" zoomScaleSheetLayoutView="90" workbookViewId="0">
      <selection activeCell="B1" sqref="B1:J22"/>
    </sheetView>
  </sheetViews>
  <sheetFormatPr defaultColWidth="9.28515625" defaultRowHeight="14.25" x14ac:dyDescent="0.2"/>
  <cols>
    <col min="1" max="1" width="4.28515625" style="5" customWidth="1"/>
    <col min="2" max="2" width="6.28515625" style="5" customWidth="1"/>
    <col min="3" max="3" width="35.570312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0" width="14.42578125" style="5" bestFit="1" customWidth="1"/>
    <col min="11" max="13" width="11.7109375" style="5" bestFit="1" customWidth="1"/>
    <col min="14" max="16384" width="9.28515625" style="5"/>
  </cols>
  <sheetData>
    <row r="1" spans="2:12" ht="15" x14ac:dyDescent="0.2">
      <c r="B1" s="24"/>
    </row>
    <row r="2" spans="2:12" ht="14.25" customHeight="1" x14ac:dyDescent="0.2">
      <c r="B2" s="279" t="s">
        <v>403</v>
      </c>
      <c r="C2" s="279"/>
      <c r="D2" s="279"/>
      <c r="E2" s="279"/>
      <c r="F2" s="279"/>
      <c r="G2" s="279"/>
      <c r="H2" s="279"/>
      <c r="I2" s="279"/>
      <c r="J2" s="279"/>
    </row>
    <row r="3" spans="2:12" ht="14.25" customHeight="1" x14ac:dyDescent="0.2">
      <c r="B3" s="279" t="str">
        <f>'F1'!$B$3</f>
        <v>BTPS</v>
      </c>
      <c r="C3" s="279"/>
      <c r="D3" s="279"/>
      <c r="E3" s="279"/>
      <c r="F3" s="279"/>
      <c r="G3" s="279"/>
      <c r="H3" s="279"/>
      <c r="I3" s="279"/>
      <c r="J3" s="279"/>
    </row>
    <row r="4" spans="2:12" ht="15" x14ac:dyDescent="0.2">
      <c r="E4" s="35" t="s">
        <v>281</v>
      </c>
    </row>
    <row r="5" spans="2:12" ht="15" x14ac:dyDescent="0.2">
      <c r="J5" s="26" t="s">
        <v>4</v>
      </c>
    </row>
    <row r="6" spans="2:12" s="13" customFormat="1" ht="15" customHeight="1" x14ac:dyDescent="0.2">
      <c r="B6" s="283" t="s">
        <v>193</v>
      </c>
      <c r="C6" s="286" t="s">
        <v>18</v>
      </c>
      <c r="D6" s="290" t="s">
        <v>404</v>
      </c>
      <c r="E6" s="291"/>
      <c r="F6" s="292"/>
      <c r="G6" s="290" t="s">
        <v>405</v>
      </c>
      <c r="H6" s="292"/>
      <c r="I6" s="290" t="s">
        <v>467</v>
      </c>
      <c r="J6" s="292"/>
    </row>
    <row r="7" spans="2:12" s="13" customFormat="1" ht="45" x14ac:dyDescent="0.2">
      <c r="B7" s="284"/>
      <c r="C7" s="286"/>
      <c r="D7" s="15" t="s">
        <v>370</v>
      </c>
      <c r="E7" s="15" t="s">
        <v>240</v>
      </c>
      <c r="F7" s="15" t="s">
        <v>208</v>
      </c>
      <c r="G7" s="15" t="s">
        <v>370</v>
      </c>
      <c r="H7" s="15" t="s">
        <v>239</v>
      </c>
      <c r="I7" s="15" t="s">
        <v>370</v>
      </c>
      <c r="J7" s="15" t="s">
        <v>229</v>
      </c>
    </row>
    <row r="8" spans="2:12" s="13" customFormat="1" ht="30" x14ac:dyDescent="0.2">
      <c r="B8" s="285"/>
      <c r="C8" s="287"/>
      <c r="D8" s="15" t="s">
        <v>10</v>
      </c>
      <c r="E8" s="15" t="s">
        <v>12</v>
      </c>
      <c r="F8" s="15" t="s">
        <v>231</v>
      </c>
      <c r="G8" s="15" t="s">
        <v>10</v>
      </c>
      <c r="H8" s="15" t="s">
        <v>463</v>
      </c>
      <c r="I8" s="15" t="s">
        <v>10</v>
      </c>
      <c r="J8" s="15" t="s">
        <v>463</v>
      </c>
    </row>
    <row r="9" spans="2:12" x14ac:dyDescent="0.2">
      <c r="B9" s="62">
        <v>1</v>
      </c>
      <c r="C9" s="27" t="s">
        <v>282</v>
      </c>
      <c r="D9" s="2"/>
      <c r="E9" s="119">
        <f>1080*24*20*85%*(1-0.085)*'F12'!F17/10000</f>
        <v>158.72495782239011</v>
      </c>
      <c r="F9" s="125">
        <f>E9</f>
        <v>158.72495782239011</v>
      </c>
      <c r="G9" s="130"/>
      <c r="H9" s="130">
        <f>1080*24*20*85%*(1-0.085)*'F12'!I17/10000</f>
        <v>151.11396288000003</v>
      </c>
      <c r="I9" s="130"/>
      <c r="J9" s="130">
        <f>1080*24*20*85%*(1-0.085)*'F12'!K17/10000</f>
        <v>146.84019552000001</v>
      </c>
    </row>
    <row r="10" spans="2:12" x14ac:dyDescent="0.2">
      <c r="B10" s="20">
        <f>B9+1</f>
        <v>2</v>
      </c>
      <c r="C10" s="27" t="s">
        <v>283</v>
      </c>
      <c r="D10" s="2"/>
      <c r="E10" s="119">
        <f>1080*24*30*85%*(1-0.085)*'F12'!G17/10000</f>
        <v>238.08743673358512</v>
      </c>
      <c r="F10" s="125">
        <f>E10</f>
        <v>238.08743673358512</v>
      </c>
      <c r="G10" s="130"/>
      <c r="H10" s="130">
        <f>1080*24*30*85%*(1-0.085)*'F12'!I17/10000</f>
        <v>226.67094432000002</v>
      </c>
      <c r="I10" s="130"/>
      <c r="J10" s="130">
        <f>1080*24*30*85%*(1-0.085)*'F12'!K17/10000</f>
        <v>220.26029328000001</v>
      </c>
    </row>
    <row r="11" spans="2:12" x14ac:dyDescent="0.2">
      <c r="B11" s="20">
        <f t="shared" ref="B11:B19" si="0">B10+1</f>
        <v>3</v>
      </c>
      <c r="C11" s="29" t="s">
        <v>284</v>
      </c>
      <c r="D11" s="2"/>
      <c r="E11" s="119">
        <f>1080*24*85%*(1-0.085)*'F12'!G18*30/10000</f>
        <v>1.284602051071287</v>
      </c>
      <c r="F11" s="125">
        <f>E11</f>
        <v>1.284602051071287</v>
      </c>
      <c r="G11" s="130"/>
      <c r="H11" s="130">
        <f>1080*24*85%*(1-0.085)*'F12'!I18*30/10000</f>
        <v>2.0562465600000004</v>
      </c>
      <c r="I11" s="130"/>
      <c r="J11" s="130">
        <f>1080*24*85%*(1-0.085)*'F12'!K18*30/10000</f>
        <v>2.1167244000000007</v>
      </c>
    </row>
    <row r="12" spans="2:12" x14ac:dyDescent="0.2">
      <c r="B12" s="20">
        <f t="shared" si="0"/>
        <v>4</v>
      </c>
      <c r="C12" s="66" t="s">
        <v>285</v>
      </c>
      <c r="D12" s="118"/>
      <c r="E12" s="118">
        <f>'F2'!F14/12</f>
        <v>37.615000000000002</v>
      </c>
      <c r="F12" s="144">
        <f>'F2'!G14/12</f>
        <v>37.615000000000002</v>
      </c>
      <c r="G12" s="144"/>
      <c r="H12" s="144">
        <f>'F2'!I14/12</f>
        <v>39.644166666666671</v>
      </c>
      <c r="I12" s="144"/>
      <c r="J12" s="144">
        <f>'F2'!K14/12</f>
        <v>41.4</v>
      </c>
    </row>
    <row r="13" spans="2:12" s="32" customFormat="1" ht="15" x14ac:dyDescent="0.2">
      <c r="B13" s="20">
        <f t="shared" si="0"/>
        <v>5</v>
      </c>
      <c r="C13" s="37" t="s">
        <v>286</v>
      </c>
      <c r="D13" s="67"/>
      <c r="E13" s="125">
        <f>'F4'!F21*1%</f>
        <v>74.452799999999996</v>
      </c>
      <c r="F13" s="125">
        <f>E13</f>
        <v>74.452799999999996</v>
      </c>
      <c r="G13" s="125"/>
      <c r="H13" s="125">
        <f>'F4'!F37*1%</f>
        <v>75.403400000000005</v>
      </c>
      <c r="I13" s="125"/>
      <c r="J13" s="125">
        <f>'F4'!F53*1%</f>
        <v>75.795600000000007</v>
      </c>
    </row>
    <row r="14" spans="2:12" x14ac:dyDescent="0.2">
      <c r="B14" s="20">
        <f t="shared" si="0"/>
        <v>6</v>
      </c>
      <c r="C14" s="66" t="s">
        <v>397</v>
      </c>
      <c r="D14" s="118"/>
      <c r="E14" s="118">
        <f ca="1">E10*45/30+E11*45/30+'F1'!G16*45/365</f>
        <v>560.46203077972427</v>
      </c>
      <c r="F14" s="118">
        <f ca="1">E14</f>
        <v>560.46203077972427</v>
      </c>
      <c r="G14" s="144"/>
      <c r="H14" s="144">
        <f ca="1">H10*45/30+H11*45/30+'F1'!J16*45/365</f>
        <v>546.09996440219174</v>
      </c>
      <c r="I14" s="144"/>
      <c r="J14" s="144">
        <f ca="1">J10*45/30+J11*45/30+'F1'!L16*45/365</f>
        <v>545.46127994465746</v>
      </c>
      <c r="K14" s="165"/>
    </row>
    <row r="15" spans="2:12" x14ac:dyDescent="0.2">
      <c r="B15" s="20"/>
      <c r="C15" s="66" t="s">
        <v>287</v>
      </c>
      <c r="D15" s="67"/>
      <c r="E15" s="29"/>
      <c r="F15" s="3"/>
      <c r="G15" s="29"/>
      <c r="H15" s="29"/>
      <c r="I15" s="29"/>
      <c r="J15" s="29"/>
    </row>
    <row r="16" spans="2:12" x14ac:dyDescent="0.2">
      <c r="B16" s="20">
        <f>B14+1</f>
        <v>7</v>
      </c>
      <c r="C16" s="27" t="s">
        <v>398</v>
      </c>
      <c r="D16" s="118"/>
      <c r="E16" s="118">
        <f>E10+E11</f>
        <v>239.37203878465641</v>
      </c>
      <c r="F16" s="118">
        <f>F10+F11</f>
        <v>239.37203878465641</v>
      </c>
      <c r="G16" s="118"/>
      <c r="H16" s="118">
        <f>H10+H11</f>
        <v>228.72719088000002</v>
      </c>
      <c r="I16" s="118"/>
      <c r="J16" s="118">
        <f>J10+J11</f>
        <v>222.37701768000002</v>
      </c>
      <c r="L16" s="165"/>
    </row>
    <row r="17" spans="2:10" ht="15" x14ac:dyDescent="0.2">
      <c r="B17" s="20">
        <f t="shared" si="0"/>
        <v>8</v>
      </c>
      <c r="C17" s="27" t="s">
        <v>55</v>
      </c>
      <c r="D17" s="116">
        <f>SUM(D9:D14)-D16</f>
        <v>0</v>
      </c>
      <c r="E17" s="116">
        <f t="shared" ref="E17:J17" ca="1" si="1">SUM(E9:E14)-E16</f>
        <v>831.25478860211444</v>
      </c>
      <c r="F17" s="116">
        <f t="shared" ca="1" si="1"/>
        <v>831.25478860211444</v>
      </c>
      <c r="G17" s="116">
        <f t="shared" si="1"/>
        <v>0</v>
      </c>
      <c r="H17" s="116">
        <f t="shared" ca="1" si="1"/>
        <v>812.26149394885829</v>
      </c>
      <c r="I17" s="116">
        <f t="shared" si="1"/>
        <v>0</v>
      </c>
      <c r="J17" s="116">
        <f t="shared" ca="1" si="1"/>
        <v>809.49707546465731</v>
      </c>
    </row>
    <row r="18" spans="2:10" x14ac:dyDescent="0.2">
      <c r="B18" s="20">
        <f t="shared" si="0"/>
        <v>9</v>
      </c>
      <c r="C18" s="27" t="s">
        <v>288</v>
      </c>
      <c r="D18" s="117"/>
      <c r="E18" s="117">
        <v>0.1041</v>
      </c>
      <c r="F18" s="117">
        <f>E18</f>
        <v>0.1041</v>
      </c>
      <c r="G18" s="117">
        <v>0.1008</v>
      </c>
      <c r="H18" s="117">
        <v>0.10249999999999999</v>
      </c>
      <c r="I18" s="117"/>
      <c r="J18" s="117">
        <v>0.10249999999999999</v>
      </c>
    </row>
    <row r="19" spans="2:10" ht="15" x14ac:dyDescent="0.2">
      <c r="B19" s="20">
        <f t="shared" si="0"/>
        <v>10</v>
      </c>
      <c r="C19" s="66" t="s">
        <v>289</v>
      </c>
      <c r="D19" s="116">
        <v>70.14</v>
      </c>
      <c r="E19" s="116">
        <f ca="1">ROUND(E17*E18,2)</f>
        <v>86.53</v>
      </c>
      <c r="F19" s="116">
        <f ca="1">ROUND(F17*F18,2)</f>
        <v>86.53</v>
      </c>
      <c r="G19" s="116">
        <v>72.39</v>
      </c>
      <c r="H19" s="116">
        <f ca="1">ROUND(H17*H18,2)</f>
        <v>83.26</v>
      </c>
      <c r="I19" s="116">
        <v>72.260000000000005</v>
      </c>
      <c r="J19" s="116">
        <f ca="1">ROUND(J17*J18,2)</f>
        <v>82.97</v>
      </c>
    </row>
    <row r="20" spans="2:10" x14ac:dyDescent="0.2">
      <c r="D20" s="152"/>
    </row>
    <row r="21" spans="2:10" x14ac:dyDescent="0.2">
      <c r="C21" s="5" t="s">
        <v>242</v>
      </c>
    </row>
    <row r="22" spans="2:10" x14ac:dyDescent="0.2">
      <c r="C22" s="5" t="s">
        <v>399</v>
      </c>
    </row>
  </sheetData>
  <mergeCells count="7">
    <mergeCell ref="B2:J2"/>
    <mergeCell ref="B3:J3"/>
    <mergeCell ref="G6:H6"/>
    <mergeCell ref="I6:J6"/>
    <mergeCell ref="B6:B8"/>
    <mergeCell ref="C6:C8"/>
    <mergeCell ref="D6:F6"/>
  </mergeCells>
  <pageMargins left="0.27" right="0.25" top="1" bottom="1" header="0.25" footer="0.25"/>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showGridLines="0" topLeftCell="A5" zoomScale="96" zoomScaleNormal="96" zoomScaleSheetLayoutView="90" zoomScalePageLayoutView="84" workbookViewId="0">
      <selection activeCell="B1" sqref="B1:J23"/>
    </sheetView>
  </sheetViews>
  <sheetFormatPr defaultColWidth="9.28515625" defaultRowHeight="14.25" x14ac:dyDescent="0.2"/>
  <cols>
    <col min="1" max="1" width="3.28515625" style="5" customWidth="1"/>
    <col min="2" max="2" width="6.28515625" style="5" customWidth="1"/>
    <col min="3" max="3" width="60.28515625" style="5" customWidth="1"/>
    <col min="4" max="4" width="12.42578125" style="5" customWidth="1"/>
    <col min="5" max="5" width="11" style="5" customWidth="1"/>
    <col min="6" max="6" width="13.42578125" style="5" bestFit="1" customWidth="1"/>
    <col min="7" max="9" width="12.140625" style="5" customWidth="1"/>
    <col min="10" max="10" width="11.28515625" style="5" customWidth="1"/>
    <col min="11" max="13" width="11.7109375" style="5" bestFit="1" customWidth="1"/>
    <col min="14" max="16384" width="9.28515625" style="5"/>
  </cols>
  <sheetData>
    <row r="1" spans="2:10" ht="15" x14ac:dyDescent="0.2">
      <c r="B1" s="24"/>
    </row>
    <row r="2" spans="2:10" ht="15" x14ac:dyDescent="0.2">
      <c r="D2" s="32" t="s">
        <v>403</v>
      </c>
    </row>
    <row r="3" spans="2:10" ht="15" x14ac:dyDescent="0.2">
      <c r="D3" s="32" t="str">
        <f>'F1'!$B$3</f>
        <v>BTPS</v>
      </c>
    </row>
    <row r="4" spans="2:10" ht="15" x14ac:dyDescent="0.2">
      <c r="D4" s="35" t="s">
        <v>290</v>
      </c>
    </row>
    <row r="5" spans="2:10" ht="15" x14ac:dyDescent="0.2">
      <c r="J5" s="26" t="s">
        <v>4</v>
      </c>
    </row>
    <row r="6" spans="2:10" s="13" customFormat="1" ht="15" customHeight="1" x14ac:dyDescent="0.2">
      <c r="B6" s="283" t="s">
        <v>193</v>
      </c>
      <c r="C6" s="286" t="s">
        <v>18</v>
      </c>
      <c r="D6" s="290" t="s">
        <v>404</v>
      </c>
      <c r="E6" s="291"/>
      <c r="F6" s="292"/>
      <c r="G6" s="290" t="s">
        <v>405</v>
      </c>
      <c r="H6" s="292"/>
      <c r="I6" s="290" t="s">
        <v>467</v>
      </c>
      <c r="J6" s="292"/>
    </row>
    <row r="7" spans="2:10" s="13" customFormat="1" ht="45" x14ac:dyDescent="0.2">
      <c r="B7" s="284"/>
      <c r="C7" s="286"/>
      <c r="D7" s="15" t="s">
        <v>370</v>
      </c>
      <c r="E7" s="15" t="s">
        <v>240</v>
      </c>
      <c r="F7" s="15" t="s">
        <v>208</v>
      </c>
      <c r="G7" s="15" t="s">
        <v>370</v>
      </c>
      <c r="H7" s="15" t="s">
        <v>239</v>
      </c>
      <c r="I7" s="15" t="s">
        <v>370</v>
      </c>
      <c r="J7" s="15" t="s">
        <v>239</v>
      </c>
    </row>
    <row r="8" spans="2:10" s="13" customFormat="1" ht="30" x14ac:dyDescent="0.2">
      <c r="B8" s="285"/>
      <c r="C8" s="287"/>
      <c r="D8" s="15" t="s">
        <v>10</v>
      </c>
      <c r="E8" s="15" t="s">
        <v>12</v>
      </c>
      <c r="F8" s="15" t="s">
        <v>231</v>
      </c>
      <c r="G8" s="15" t="s">
        <v>10</v>
      </c>
      <c r="H8" s="15" t="s">
        <v>463</v>
      </c>
      <c r="I8" s="15" t="s">
        <v>10</v>
      </c>
      <c r="J8" s="15" t="s">
        <v>463</v>
      </c>
    </row>
    <row r="9" spans="2:10" x14ac:dyDescent="0.2">
      <c r="B9" s="62">
        <v>1</v>
      </c>
      <c r="C9" s="27" t="s">
        <v>224</v>
      </c>
      <c r="D9" s="127"/>
      <c r="E9" s="125">
        <f>'F4'!F21*30%</f>
        <v>2233.5839999999998</v>
      </c>
      <c r="F9" s="125">
        <f>E9</f>
        <v>2233.5839999999998</v>
      </c>
      <c r="G9" s="129"/>
      <c r="H9" s="130">
        <f>E13</f>
        <v>2257.3489999999997</v>
      </c>
      <c r="I9" s="129"/>
      <c r="J9" s="130">
        <f>H13</f>
        <v>2267.1539999999995</v>
      </c>
    </row>
    <row r="10" spans="2:10" x14ac:dyDescent="0.2">
      <c r="B10" s="20">
        <f>B9+1</f>
        <v>2</v>
      </c>
      <c r="C10" s="27" t="s">
        <v>225</v>
      </c>
      <c r="D10" s="127"/>
      <c r="E10" s="125">
        <f>'F3'!E12</f>
        <v>95.06</v>
      </c>
      <c r="F10" s="125">
        <f>'F3'!F12</f>
        <v>95.06</v>
      </c>
      <c r="G10" s="125">
        <f>'F3'!G12</f>
        <v>0</v>
      </c>
      <c r="H10" s="125">
        <f>'F3'!H12</f>
        <v>39.22</v>
      </c>
      <c r="I10" s="125">
        <f>'F3'!I12</f>
        <v>0</v>
      </c>
      <c r="J10" s="125">
        <f>'F3'!J12</f>
        <v>889.13</v>
      </c>
    </row>
    <row r="11" spans="2:10" x14ac:dyDescent="0.2">
      <c r="B11" s="20">
        <f t="shared" ref="B11:B21" si="0">B10+1</f>
        <v>3</v>
      </c>
      <c r="C11" s="29" t="s">
        <v>19</v>
      </c>
      <c r="D11" s="128">
        <f>D10*25%</f>
        <v>0</v>
      </c>
      <c r="E11" s="128">
        <f>E10*25%</f>
        <v>23.765000000000001</v>
      </c>
      <c r="F11" s="128">
        <f t="shared" ref="F11:J11" si="1">F10*25%</f>
        <v>23.765000000000001</v>
      </c>
      <c r="G11" s="128">
        <f t="shared" si="1"/>
        <v>0</v>
      </c>
      <c r="H11" s="128">
        <f t="shared" si="1"/>
        <v>9.8049999999999997</v>
      </c>
      <c r="I11" s="128">
        <f t="shared" si="1"/>
        <v>0</v>
      </c>
      <c r="J11" s="128">
        <f t="shared" si="1"/>
        <v>222.2825</v>
      </c>
    </row>
    <row r="12" spans="2:10" ht="28.5" x14ac:dyDescent="0.2">
      <c r="B12" s="20">
        <f t="shared" si="0"/>
        <v>4</v>
      </c>
      <c r="C12" s="66" t="s">
        <v>20</v>
      </c>
      <c r="D12" s="131"/>
      <c r="E12" s="40"/>
      <c r="F12" s="127"/>
      <c r="G12" s="40"/>
      <c r="H12" s="40"/>
      <c r="I12" s="40"/>
      <c r="J12" s="40"/>
    </row>
    <row r="13" spans="2:10" s="32" customFormat="1" ht="15" x14ac:dyDescent="0.2">
      <c r="B13" s="20">
        <f t="shared" si="0"/>
        <v>5</v>
      </c>
      <c r="C13" s="37" t="s">
        <v>21</v>
      </c>
      <c r="D13" s="132">
        <f>D9+D11-D12</f>
        <v>0</v>
      </c>
      <c r="E13" s="132">
        <f t="shared" ref="E13:J13" si="2">E9+E11-E12</f>
        <v>2257.3489999999997</v>
      </c>
      <c r="F13" s="132">
        <f>F9+F11-F12</f>
        <v>2257.3489999999997</v>
      </c>
      <c r="G13" s="132">
        <f t="shared" si="2"/>
        <v>0</v>
      </c>
      <c r="H13" s="132">
        <f t="shared" si="2"/>
        <v>2267.1539999999995</v>
      </c>
      <c r="I13" s="132"/>
      <c r="J13" s="132">
        <f t="shared" si="2"/>
        <v>2489.4364999999993</v>
      </c>
    </row>
    <row r="14" spans="2:10" s="32" customFormat="1" ht="15" x14ac:dyDescent="0.2">
      <c r="B14" s="20"/>
      <c r="C14" s="68" t="s">
        <v>291</v>
      </c>
      <c r="D14" s="67"/>
      <c r="E14" s="29"/>
      <c r="F14" s="3"/>
      <c r="G14" s="29"/>
      <c r="H14" s="29"/>
      <c r="I14" s="29"/>
      <c r="J14" s="29"/>
    </row>
    <row r="15" spans="2:10" s="32" customFormat="1" ht="15" x14ac:dyDescent="0.2">
      <c r="B15" s="20">
        <f>B13+1</f>
        <v>6</v>
      </c>
      <c r="C15" s="37" t="s">
        <v>292</v>
      </c>
      <c r="D15" s="171">
        <v>0.115</v>
      </c>
      <c r="E15" s="171">
        <v>0.155</v>
      </c>
      <c r="F15" s="171">
        <v>0.155</v>
      </c>
      <c r="G15" s="171">
        <v>0.115</v>
      </c>
      <c r="H15" s="171">
        <v>0.155</v>
      </c>
      <c r="I15" s="171">
        <v>0.155</v>
      </c>
      <c r="J15" s="171">
        <v>0.155</v>
      </c>
    </row>
    <row r="16" spans="2:10" s="32" customFormat="1" ht="15" x14ac:dyDescent="0.2">
      <c r="B16" s="20">
        <f>B15+1</f>
        <v>7</v>
      </c>
      <c r="C16" s="37" t="s">
        <v>293</v>
      </c>
      <c r="D16" s="172">
        <v>0.25168000000000001</v>
      </c>
      <c r="E16" s="172">
        <v>0.25168000000000001</v>
      </c>
      <c r="F16" s="172">
        <v>0.25168000000000001</v>
      </c>
      <c r="G16" s="172">
        <v>0.25168000000000001</v>
      </c>
      <c r="H16" s="172">
        <v>0.25168000000000001</v>
      </c>
      <c r="I16" s="172">
        <v>0.25168000000000001</v>
      </c>
      <c r="J16" s="172">
        <v>0.25168000000000001</v>
      </c>
    </row>
    <row r="17" spans="2:10" s="32" customFormat="1" ht="15" x14ac:dyDescent="0.2">
      <c r="B17" s="20">
        <f>B16+1</f>
        <v>8</v>
      </c>
      <c r="C17" s="30" t="s">
        <v>291</v>
      </c>
      <c r="D17" s="173">
        <f>D15/(1-D16)</f>
        <v>0.15367757109258073</v>
      </c>
      <c r="E17" s="173">
        <f t="shared" ref="E17:J17" si="3">E15/(1-E16)</f>
        <v>0.20713063929869574</v>
      </c>
      <c r="F17" s="173">
        <f t="shared" si="3"/>
        <v>0.20713063929869574</v>
      </c>
      <c r="G17" s="173">
        <f t="shared" si="3"/>
        <v>0.15367757109258073</v>
      </c>
      <c r="H17" s="173">
        <f t="shared" si="3"/>
        <v>0.20713063929869574</v>
      </c>
      <c r="I17" s="173">
        <f t="shared" si="3"/>
        <v>0.20713063929869574</v>
      </c>
      <c r="J17" s="173">
        <f t="shared" si="3"/>
        <v>0.20713063929869574</v>
      </c>
    </row>
    <row r="18" spans="2:10" ht="15" x14ac:dyDescent="0.2">
      <c r="B18" s="20"/>
      <c r="C18" s="68" t="s">
        <v>182</v>
      </c>
      <c r="D18" s="115"/>
      <c r="E18" s="29"/>
      <c r="F18" s="3"/>
      <c r="G18" s="29"/>
      <c r="H18" s="29"/>
      <c r="I18" s="29"/>
      <c r="J18" s="29"/>
    </row>
    <row r="19" spans="2:10" ht="17.25" customHeight="1" x14ac:dyDescent="0.2">
      <c r="B19" s="20">
        <f>B17+1</f>
        <v>9</v>
      </c>
      <c r="C19" s="66" t="s">
        <v>226</v>
      </c>
      <c r="D19" s="116">
        <f>D9*D17</f>
        <v>0</v>
      </c>
      <c r="E19" s="116">
        <f t="shared" ref="E19:J19" si="4">E9*E17</f>
        <v>462.64368184733797</v>
      </c>
      <c r="F19" s="116">
        <f t="shared" si="4"/>
        <v>462.64368184733797</v>
      </c>
      <c r="G19" s="116">
        <f t="shared" si="4"/>
        <v>0</v>
      </c>
      <c r="H19" s="116">
        <f t="shared" si="4"/>
        <v>467.56614149027149</v>
      </c>
      <c r="I19" s="116"/>
      <c r="J19" s="116">
        <f t="shared" si="4"/>
        <v>469.59705740859516</v>
      </c>
    </row>
    <row r="20" spans="2:10" ht="18.75" customHeight="1" x14ac:dyDescent="0.2">
      <c r="B20" s="20">
        <f t="shared" si="0"/>
        <v>10</v>
      </c>
      <c r="C20" s="66" t="s">
        <v>227</v>
      </c>
      <c r="D20" s="116">
        <f>AVERAGE(D9,D13)*D17-D19</f>
        <v>0</v>
      </c>
      <c r="E20" s="116">
        <f t="shared" ref="E20:J20" si="5">AVERAGE(E9,E13)*E17-E19</f>
        <v>2.4612298214667021</v>
      </c>
      <c r="F20" s="116">
        <f t="shared" si="5"/>
        <v>2.4612298214667021</v>
      </c>
      <c r="G20" s="116">
        <f t="shared" si="5"/>
        <v>0</v>
      </c>
      <c r="H20" s="116">
        <f t="shared" si="5"/>
        <v>1.0154579591617789</v>
      </c>
      <c r="I20" s="116"/>
      <c r="J20" s="116">
        <f t="shared" si="5"/>
        <v>23.020758164956078</v>
      </c>
    </row>
    <row r="21" spans="2:10" ht="15" x14ac:dyDescent="0.2">
      <c r="B21" s="20">
        <f t="shared" si="0"/>
        <v>11</v>
      </c>
      <c r="C21" s="39" t="s">
        <v>183</v>
      </c>
      <c r="D21" s="116">
        <v>377.86</v>
      </c>
      <c r="E21" s="116">
        <f>ROUND((E19+E20),2)</f>
        <v>465.1</v>
      </c>
      <c r="F21" s="116">
        <f>ROUND((F19+F20),2)</f>
        <v>465.1</v>
      </c>
      <c r="G21" s="116">
        <v>518.27</v>
      </c>
      <c r="H21" s="116">
        <f>ROUND((H19+H20),2)</f>
        <v>468.58</v>
      </c>
      <c r="I21" s="116">
        <v>518.27</v>
      </c>
      <c r="J21" s="116">
        <f>ROUND((J19+J20),2)</f>
        <v>492.62</v>
      </c>
    </row>
    <row r="22" spans="2:10" x14ac:dyDescent="0.2">
      <c r="C22" s="5" t="s">
        <v>242</v>
      </c>
    </row>
    <row r="23" spans="2:10" x14ac:dyDescent="0.2">
      <c r="C23" s="5" t="s">
        <v>401</v>
      </c>
    </row>
  </sheetData>
  <mergeCells count="5">
    <mergeCell ref="I6:J6"/>
    <mergeCell ref="B6:B8"/>
    <mergeCell ref="C6:C8"/>
    <mergeCell ref="D6:F6"/>
    <mergeCell ref="G6:H6"/>
  </mergeCells>
  <pageMargins left="0.52" right="0.25" top="1" bottom="1" header="0.25" footer="0.25"/>
  <pageSetup paperSize="9" scale="94"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9"/>
  <sheetViews>
    <sheetView showGridLines="0" view="pageBreakPreview" topLeftCell="A7" zoomScale="90" zoomScaleNormal="112" zoomScaleSheetLayoutView="90" workbookViewId="0">
      <selection activeCell="B2" sqref="B2:J29"/>
    </sheetView>
  </sheetViews>
  <sheetFormatPr defaultColWidth="9.28515625" defaultRowHeight="14.25" x14ac:dyDescent="0.2"/>
  <cols>
    <col min="1" max="1" width="2.7109375" style="5" customWidth="1"/>
    <col min="2" max="2" width="6.28515625" style="5" customWidth="1"/>
    <col min="3" max="3" width="50.42578125" style="5" customWidth="1"/>
    <col min="4" max="5" width="11.28515625" style="5" customWidth="1"/>
    <col min="6" max="6" width="13.7109375" style="5" customWidth="1"/>
    <col min="7" max="10" width="11.28515625" style="5" customWidth="1"/>
    <col min="11" max="13" width="11.7109375" style="5" bestFit="1" customWidth="1"/>
    <col min="14" max="16384" width="9.28515625" style="5"/>
  </cols>
  <sheetData>
    <row r="2" spans="2:10" ht="14.25" customHeight="1" x14ac:dyDescent="0.2">
      <c r="D2" s="279" t="s">
        <v>403</v>
      </c>
      <c r="E2" s="279"/>
    </row>
    <row r="3" spans="2:10" ht="14.25" customHeight="1" x14ac:dyDescent="0.2">
      <c r="D3" s="279" t="str">
        <f>'F1'!$B$3</f>
        <v>BTPS</v>
      </c>
      <c r="E3" s="279"/>
    </row>
    <row r="4" spans="2:10" ht="15" x14ac:dyDescent="0.2">
      <c r="B4" s="33"/>
      <c r="C4" s="24"/>
      <c r="D4" s="25"/>
      <c r="E4" s="35" t="s">
        <v>294</v>
      </c>
      <c r="F4" s="25"/>
      <c r="G4" s="25"/>
      <c r="H4" s="25"/>
      <c r="I4" s="25"/>
      <c r="J4" s="25"/>
    </row>
    <row r="5" spans="2:10" ht="15" x14ac:dyDescent="0.2">
      <c r="J5" s="26" t="s">
        <v>4</v>
      </c>
    </row>
    <row r="6" spans="2:10" s="13" customFormat="1" ht="15" customHeight="1" x14ac:dyDescent="0.2">
      <c r="B6" s="283" t="s">
        <v>193</v>
      </c>
      <c r="C6" s="286" t="s">
        <v>18</v>
      </c>
      <c r="D6" s="290" t="s">
        <v>404</v>
      </c>
      <c r="E6" s="291"/>
      <c r="F6" s="292"/>
      <c r="G6" s="290" t="s">
        <v>405</v>
      </c>
      <c r="H6" s="292"/>
      <c r="I6" s="290" t="s">
        <v>467</v>
      </c>
      <c r="J6" s="292"/>
    </row>
    <row r="7" spans="2:10" s="13" customFormat="1" ht="45" x14ac:dyDescent="0.2">
      <c r="B7" s="284"/>
      <c r="C7" s="286"/>
      <c r="D7" s="15" t="s">
        <v>370</v>
      </c>
      <c r="E7" s="15" t="s">
        <v>240</v>
      </c>
      <c r="F7" s="15" t="s">
        <v>208</v>
      </c>
      <c r="G7" s="15" t="s">
        <v>370</v>
      </c>
      <c r="H7" s="15" t="s">
        <v>239</v>
      </c>
      <c r="I7" s="15" t="s">
        <v>370</v>
      </c>
      <c r="J7" s="15" t="s">
        <v>229</v>
      </c>
    </row>
    <row r="8" spans="2:10" s="13" customFormat="1" ht="15" x14ac:dyDescent="0.2">
      <c r="B8" s="285"/>
      <c r="C8" s="287"/>
      <c r="D8" s="15" t="s">
        <v>10</v>
      </c>
      <c r="E8" s="15" t="s">
        <v>12</v>
      </c>
      <c r="F8" s="15" t="s">
        <v>231</v>
      </c>
      <c r="G8" s="15" t="s">
        <v>10</v>
      </c>
      <c r="H8" s="15" t="s">
        <v>5</v>
      </c>
      <c r="I8" s="15" t="s">
        <v>10</v>
      </c>
      <c r="J8" s="15" t="s">
        <v>8</v>
      </c>
    </row>
    <row r="9" spans="2:10" s="13" customFormat="1" ht="15" x14ac:dyDescent="0.2">
      <c r="B9" s="62">
        <v>1</v>
      </c>
      <c r="C9" s="153" t="s">
        <v>411</v>
      </c>
      <c r="D9" s="154"/>
      <c r="E9" s="155">
        <v>0.10378994565379028</v>
      </c>
      <c r="F9" s="155">
        <v>0.10378994565379028</v>
      </c>
      <c r="G9" s="15"/>
      <c r="H9" s="179">
        <v>0.10794154347994189</v>
      </c>
      <c r="I9" s="15"/>
      <c r="J9" s="179">
        <v>0.11225920521913957</v>
      </c>
    </row>
    <row r="10" spans="2:10" s="13" customFormat="1" ht="15" x14ac:dyDescent="0.2">
      <c r="B10" s="62">
        <f>B9+1</f>
        <v>2</v>
      </c>
      <c r="C10" s="153" t="s">
        <v>412</v>
      </c>
      <c r="D10" s="154"/>
      <c r="E10" s="155">
        <v>2.5293793615460288E-3</v>
      </c>
      <c r="F10" s="155">
        <v>2.5293793615460288E-3</v>
      </c>
      <c r="G10" s="15"/>
      <c r="H10" s="179">
        <v>2.6305545360078703E-3</v>
      </c>
      <c r="I10" s="15"/>
      <c r="J10" s="179">
        <v>2.7357767174481852E-3</v>
      </c>
    </row>
    <row r="11" spans="2:10" s="13" customFormat="1" ht="15" x14ac:dyDescent="0.2">
      <c r="B11" s="62">
        <f t="shared" ref="B11:B27" si="0">B10+1</f>
        <v>3</v>
      </c>
      <c r="C11" s="153" t="s">
        <v>413</v>
      </c>
      <c r="D11" s="154"/>
      <c r="E11" s="155">
        <v>6.5957847271847239E-2</v>
      </c>
      <c r="F11" s="155">
        <v>6.5957847271847239E-2</v>
      </c>
      <c r="G11" s="15"/>
      <c r="H11" s="179">
        <v>6.8596161162721131E-2</v>
      </c>
      <c r="I11" s="15"/>
      <c r="J11" s="179">
        <v>7.1340007609229983E-2</v>
      </c>
    </row>
    <row r="12" spans="2:10" s="13" customFormat="1" ht="15" x14ac:dyDescent="0.2">
      <c r="B12" s="62">
        <f t="shared" si="0"/>
        <v>4</v>
      </c>
      <c r="C12" s="153" t="s">
        <v>414</v>
      </c>
      <c r="D12" s="154"/>
      <c r="E12" s="155">
        <v>0</v>
      </c>
      <c r="F12" s="155">
        <v>0</v>
      </c>
      <c r="G12" s="15"/>
      <c r="H12" s="179">
        <v>0</v>
      </c>
      <c r="I12" s="15"/>
      <c r="J12" s="179">
        <v>0</v>
      </c>
    </row>
    <row r="13" spans="2:10" s="13" customFormat="1" ht="15" x14ac:dyDescent="0.2">
      <c r="B13" s="62">
        <f t="shared" si="0"/>
        <v>5</v>
      </c>
      <c r="C13" s="153" t="s">
        <v>415</v>
      </c>
      <c r="D13" s="155"/>
      <c r="E13" s="155">
        <v>0.21206225160286557</v>
      </c>
      <c r="F13" s="155">
        <v>0.21206225160286557</v>
      </c>
      <c r="G13" s="15"/>
      <c r="H13" s="179">
        <v>0.22054474166698018</v>
      </c>
      <c r="I13" s="15"/>
      <c r="J13" s="179">
        <v>0.22936653133365939</v>
      </c>
    </row>
    <row r="14" spans="2:10" s="13" customFormat="1" ht="15" x14ac:dyDescent="0.2">
      <c r="B14" s="62">
        <f t="shared" si="0"/>
        <v>6</v>
      </c>
      <c r="C14" s="153" t="s">
        <v>416</v>
      </c>
      <c r="D14" s="155"/>
      <c r="E14" s="155">
        <v>5.3663830812559557E-2</v>
      </c>
      <c r="F14" s="155">
        <v>5.3663830812559557E-2</v>
      </c>
      <c r="G14" s="15"/>
      <c r="H14" s="179">
        <v>5.5810384045061938E-2</v>
      </c>
      <c r="I14" s="15"/>
      <c r="J14" s="179">
        <v>5.8042799406864416E-2</v>
      </c>
    </row>
    <row r="15" spans="2:10" s="13" customFormat="1" ht="15" x14ac:dyDescent="0.2">
      <c r="B15" s="62">
        <f t="shared" si="0"/>
        <v>7</v>
      </c>
      <c r="C15" s="153" t="s">
        <v>417</v>
      </c>
      <c r="D15" s="155"/>
      <c r="E15" s="155">
        <v>0.1386453</v>
      </c>
      <c r="F15" s="155">
        <v>0.1386453</v>
      </c>
      <c r="G15" s="15"/>
      <c r="H15" s="179">
        <v>0.14419111200000001</v>
      </c>
      <c r="I15" s="15"/>
      <c r="J15" s="179">
        <v>0.14995875648000001</v>
      </c>
    </row>
    <row r="16" spans="2:10" s="13" customFormat="1" ht="15" x14ac:dyDescent="0.2">
      <c r="B16" s="62">
        <f t="shared" si="0"/>
        <v>8</v>
      </c>
      <c r="C16" s="153" t="s">
        <v>418</v>
      </c>
      <c r="D16" s="155"/>
      <c r="E16" s="155">
        <v>0.32997052022586604</v>
      </c>
      <c r="F16" s="155">
        <v>0.32997052022586604</v>
      </c>
      <c r="G16" s="15"/>
      <c r="H16" s="179">
        <v>0.34316934103490065</v>
      </c>
      <c r="I16" s="15"/>
      <c r="J16" s="179">
        <v>0.35689611467629667</v>
      </c>
    </row>
    <row r="17" spans="2:10" s="13" customFormat="1" ht="15" x14ac:dyDescent="0.2">
      <c r="B17" s="62">
        <f t="shared" si="0"/>
        <v>9</v>
      </c>
      <c r="C17" s="153" t="s">
        <v>419</v>
      </c>
      <c r="D17" s="155"/>
      <c r="E17" s="155">
        <v>13.646056073410016</v>
      </c>
      <c r="F17" s="155">
        <v>13.646056073410016</v>
      </c>
      <c r="G17" s="15"/>
      <c r="H17" s="179">
        <v>14.191898316346419</v>
      </c>
      <c r="I17" s="15"/>
      <c r="J17" s="179">
        <v>14.759574249000277</v>
      </c>
    </row>
    <row r="18" spans="2:10" s="13" customFormat="1" ht="15" x14ac:dyDescent="0.2">
      <c r="B18" s="62">
        <f t="shared" si="0"/>
        <v>10</v>
      </c>
      <c r="C18" s="153" t="s">
        <v>420</v>
      </c>
      <c r="D18" s="155"/>
      <c r="E18" s="155">
        <v>0</v>
      </c>
      <c r="F18" s="155">
        <v>0</v>
      </c>
      <c r="G18" s="15"/>
      <c r="H18" s="179">
        <v>0</v>
      </c>
      <c r="I18" s="15"/>
      <c r="J18" s="179">
        <v>0</v>
      </c>
    </row>
    <row r="19" spans="2:10" s="13" customFormat="1" ht="15" x14ac:dyDescent="0.2">
      <c r="B19" s="62">
        <f t="shared" si="0"/>
        <v>11</v>
      </c>
      <c r="C19" s="153" t="s">
        <v>421</v>
      </c>
      <c r="D19" s="155"/>
      <c r="E19" s="155">
        <v>0.34060649999999998</v>
      </c>
      <c r="F19" s="155">
        <v>0.34060649999999998</v>
      </c>
      <c r="G19" s="15"/>
      <c r="H19" s="179">
        <v>0.35423075999999998</v>
      </c>
      <c r="I19" s="15"/>
      <c r="J19" s="179">
        <v>0.36839999039999999</v>
      </c>
    </row>
    <row r="20" spans="2:10" s="13" customFormat="1" ht="15" x14ac:dyDescent="0.2">
      <c r="B20" s="62">
        <f t="shared" si="0"/>
        <v>12</v>
      </c>
      <c r="C20" s="153" t="s">
        <v>422</v>
      </c>
      <c r="D20" s="155"/>
      <c r="E20" s="155">
        <v>0</v>
      </c>
      <c r="F20" s="155">
        <v>0</v>
      </c>
      <c r="G20" s="15"/>
      <c r="H20" s="179">
        <v>0</v>
      </c>
      <c r="I20" s="15"/>
      <c r="J20" s="179">
        <v>0</v>
      </c>
    </row>
    <row r="21" spans="2:10" x14ac:dyDescent="0.2">
      <c r="B21" s="62">
        <f t="shared" si="0"/>
        <v>13</v>
      </c>
      <c r="C21" s="153" t="s">
        <v>423</v>
      </c>
      <c r="D21" s="155"/>
      <c r="E21" s="155">
        <v>3.513809407795524E-3</v>
      </c>
      <c r="F21" s="155">
        <v>3.513809407795524E-3</v>
      </c>
      <c r="G21" s="21"/>
      <c r="H21" s="130">
        <v>3.6543617841073451E-3</v>
      </c>
      <c r="I21" s="21"/>
      <c r="J21" s="130">
        <v>3.8005362554716388E-3</v>
      </c>
    </row>
    <row r="22" spans="2:10" x14ac:dyDescent="0.2">
      <c r="B22" s="62">
        <f t="shared" si="0"/>
        <v>14</v>
      </c>
      <c r="C22" s="153" t="s">
        <v>424</v>
      </c>
      <c r="D22" s="155"/>
      <c r="E22" s="155">
        <v>2.4447918799838399E-2</v>
      </c>
      <c r="F22" s="155">
        <v>2.4447918799838399E-2</v>
      </c>
      <c r="G22" s="21"/>
      <c r="H22" s="130">
        <v>2.5425835551831939E-2</v>
      </c>
      <c r="I22" s="21"/>
      <c r="J22" s="130">
        <v>2.6442868973905218E-2</v>
      </c>
    </row>
    <row r="23" spans="2:10" x14ac:dyDescent="0.2">
      <c r="B23" s="62">
        <f t="shared" si="0"/>
        <v>15</v>
      </c>
      <c r="C23" s="153" t="s">
        <v>425</v>
      </c>
      <c r="D23" s="155"/>
      <c r="E23" s="155">
        <v>0.18534745472964845</v>
      </c>
      <c r="F23" s="155">
        <v>0.18534745472964845</v>
      </c>
      <c r="G23" s="21"/>
      <c r="H23" s="130">
        <v>0.19276135291883439</v>
      </c>
      <c r="I23" s="21"/>
      <c r="J23" s="130">
        <v>0.20047180703558778</v>
      </c>
    </row>
    <row r="24" spans="2:10" x14ac:dyDescent="0.2">
      <c r="B24" s="62">
        <f t="shared" si="0"/>
        <v>16</v>
      </c>
      <c r="C24" s="153" t="s">
        <v>426</v>
      </c>
      <c r="D24" s="155"/>
      <c r="E24" s="155">
        <v>1.3326168881432666E-2</v>
      </c>
      <c r="F24" s="155">
        <v>1.3326168881432666E-2</v>
      </c>
      <c r="G24" s="21"/>
      <c r="H24" s="130">
        <v>1.3859215636689973E-2</v>
      </c>
      <c r="I24" s="21"/>
      <c r="J24" s="130">
        <v>1.4413584262157572E-2</v>
      </c>
    </row>
    <row r="25" spans="2:10" ht="15.75" customHeight="1" x14ac:dyDescent="0.2">
      <c r="B25" s="62">
        <f t="shared" si="0"/>
        <v>17</v>
      </c>
      <c r="C25" s="153" t="s">
        <v>427</v>
      </c>
      <c r="D25" s="156">
        <f>SUM(D9:D20)</f>
        <v>0</v>
      </c>
      <c r="E25" s="155">
        <v>3.7011237686038805E-2</v>
      </c>
      <c r="F25" s="155">
        <v>3.7011237686038805E-2</v>
      </c>
      <c r="G25" s="29"/>
      <c r="H25" s="125">
        <v>3.849168719348036E-2</v>
      </c>
      <c r="I25" s="29"/>
      <c r="J25" s="125">
        <v>4.0031354681219579E-2</v>
      </c>
    </row>
    <row r="26" spans="2:10" s="32" customFormat="1" ht="15" x14ac:dyDescent="0.2">
      <c r="B26" s="62">
        <f t="shared" si="0"/>
        <v>18</v>
      </c>
      <c r="C26" s="153" t="s">
        <v>428</v>
      </c>
      <c r="D26" s="156"/>
      <c r="E26" s="155">
        <v>3.9226293810888072E-4</v>
      </c>
      <c r="F26" s="155">
        <v>3.9226293810888072E-4</v>
      </c>
      <c r="G26" s="29"/>
      <c r="H26" s="125">
        <v>2.7165445589154482E-2</v>
      </c>
      <c r="I26" s="29"/>
      <c r="J26" s="125">
        <v>2.8252063412720661E-2</v>
      </c>
    </row>
    <row r="27" spans="2:10" s="32" customFormat="1" ht="15" x14ac:dyDescent="0.2">
      <c r="B27" s="62">
        <f t="shared" si="0"/>
        <v>19</v>
      </c>
      <c r="C27" s="153" t="s">
        <v>429</v>
      </c>
      <c r="D27" s="156"/>
      <c r="E27" s="155">
        <v>2.7672E-3</v>
      </c>
      <c r="F27" s="155">
        <v>2.7672E-3</v>
      </c>
      <c r="G27" s="29"/>
      <c r="H27" s="125">
        <v>3.3704165674652981E-3</v>
      </c>
      <c r="I27" s="29"/>
      <c r="J27" s="125">
        <v>3.50523323016391E-3</v>
      </c>
    </row>
    <row r="28" spans="2:10" x14ac:dyDescent="0.2">
      <c r="B28" s="20"/>
      <c r="C28" s="66"/>
      <c r="D28" s="67"/>
      <c r="E28" s="29"/>
      <c r="F28" s="29"/>
      <c r="G28" s="40"/>
      <c r="H28" s="40"/>
      <c r="I28" s="40"/>
      <c r="J28" s="40"/>
    </row>
    <row r="29" spans="2:10" ht="15" x14ac:dyDescent="0.2">
      <c r="B29" s="20"/>
      <c r="C29" s="31" t="s">
        <v>139</v>
      </c>
      <c r="D29" s="116">
        <v>11.62</v>
      </c>
      <c r="E29" s="116">
        <f>ROUND(SUM(E9:E27),2)</f>
        <v>15.16</v>
      </c>
      <c r="F29" s="116">
        <f>ROUND(SUM(F9:F27),2)</f>
        <v>15.16</v>
      </c>
      <c r="G29" s="116">
        <v>12.09</v>
      </c>
      <c r="H29" s="116">
        <f>ROUND(SUM(H9:H27),2)</f>
        <v>15.79</v>
      </c>
      <c r="I29" s="116">
        <v>12.57</v>
      </c>
      <c r="J29" s="116">
        <f>ROUND(SUM(J9:J27),2)</f>
        <v>16.43</v>
      </c>
    </row>
  </sheetData>
  <mergeCells count="7">
    <mergeCell ref="D2:E2"/>
    <mergeCell ref="D3:E3"/>
    <mergeCell ref="I6:J6"/>
    <mergeCell ref="B6:B8"/>
    <mergeCell ref="C6:C8"/>
    <mergeCell ref="D6:F6"/>
    <mergeCell ref="G6:H6"/>
  </mergeCells>
  <pageMargins left="0.27" right="0.25" top="0.25" bottom="1" header="0.25" footer="0.2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1"/>
  <sheetViews>
    <sheetView showGridLines="0" view="pageBreakPreview" zoomScaleNormal="93" zoomScaleSheetLayoutView="100" workbookViewId="0">
      <selection activeCell="B2" sqref="B2:F26"/>
    </sheetView>
  </sheetViews>
  <sheetFormatPr defaultColWidth="9.28515625" defaultRowHeight="14.25" x14ac:dyDescent="0.2"/>
  <cols>
    <col min="1" max="1" width="3.28515625" style="5" customWidth="1"/>
    <col min="2" max="2" width="8.28515625" style="5" customWidth="1"/>
    <col min="3" max="3" width="26.7109375" style="5" customWidth="1"/>
    <col min="4" max="4" width="15.7109375" style="5" customWidth="1"/>
    <col min="5" max="5" width="18" style="5" bestFit="1" customWidth="1"/>
    <col min="6" max="6" width="15.7109375" style="5" customWidth="1"/>
    <col min="7" max="16384" width="9.28515625" style="5"/>
  </cols>
  <sheetData>
    <row r="2" spans="2:6" ht="15" x14ac:dyDescent="0.2">
      <c r="B2" s="279" t="s">
        <v>403</v>
      </c>
      <c r="C2" s="279"/>
      <c r="D2" s="279"/>
      <c r="E2" s="279"/>
      <c r="F2" s="279"/>
    </row>
    <row r="3" spans="2:6" ht="15" x14ac:dyDescent="0.2">
      <c r="B3" s="35"/>
      <c r="C3" s="35"/>
      <c r="D3" s="35" t="str">
        <f>'F1'!$B$3</f>
        <v>BTPS</v>
      </c>
      <c r="E3" s="35"/>
      <c r="F3" s="35"/>
    </row>
    <row r="4" spans="2:6" ht="14.25" customHeight="1" x14ac:dyDescent="0.2">
      <c r="B4" s="279" t="s">
        <v>296</v>
      </c>
      <c r="C4" s="279"/>
      <c r="D4" s="279"/>
      <c r="E4" s="279"/>
      <c r="F4" s="279"/>
    </row>
    <row r="5" spans="2:6" ht="15" x14ac:dyDescent="0.2">
      <c r="B5" s="24"/>
      <c r="C5" s="70"/>
      <c r="D5" s="71"/>
    </row>
    <row r="6" spans="2:6" ht="15" customHeight="1" x14ac:dyDescent="0.2">
      <c r="B6" s="294" t="s">
        <v>2</v>
      </c>
      <c r="C6" s="299" t="s">
        <v>18</v>
      </c>
      <c r="D6" s="134" t="s">
        <v>404</v>
      </c>
      <c r="E6" s="23" t="s">
        <v>405</v>
      </c>
      <c r="F6" s="23" t="s">
        <v>467</v>
      </c>
    </row>
    <row r="7" spans="2:6" ht="15" x14ac:dyDescent="0.2">
      <c r="B7" s="294"/>
      <c r="C7" s="299"/>
      <c r="D7" s="15" t="s">
        <v>295</v>
      </c>
      <c r="E7" s="15" t="s">
        <v>239</v>
      </c>
      <c r="F7" s="15" t="s">
        <v>239</v>
      </c>
    </row>
    <row r="8" spans="2:6" ht="24.75" customHeight="1" x14ac:dyDescent="0.2">
      <c r="B8" s="305"/>
      <c r="C8" s="306"/>
      <c r="D8" s="15" t="s">
        <v>3</v>
      </c>
      <c r="E8" s="15" t="s">
        <v>5</v>
      </c>
      <c r="F8" s="15" t="s">
        <v>8</v>
      </c>
    </row>
    <row r="9" spans="2:6" ht="15" x14ac:dyDescent="0.2">
      <c r="B9" s="72">
        <v>1</v>
      </c>
      <c r="C9" s="73" t="s">
        <v>165</v>
      </c>
      <c r="D9" s="69"/>
      <c r="E9" s="69"/>
      <c r="F9" s="27"/>
    </row>
    <row r="10" spans="2:6" s="32" customFormat="1" ht="15" x14ac:dyDescent="0.2">
      <c r="B10" s="74" t="s">
        <v>57</v>
      </c>
      <c r="C10" s="39" t="s">
        <v>58</v>
      </c>
      <c r="D10" s="75"/>
      <c r="E10" s="39"/>
      <c r="F10" s="39"/>
    </row>
    <row r="11" spans="2:6" s="32" customFormat="1" ht="15" x14ac:dyDescent="0.2">
      <c r="B11" s="76"/>
      <c r="C11" s="29" t="s">
        <v>59</v>
      </c>
      <c r="D11" s="75"/>
      <c r="E11" s="39"/>
      <c r="F11" s="39"/>
    </row>
    <row r="12" spans="2:6" s="32" customFormat="1" ht="15" x14ac:dyDescent="0.2">
      <c r="B12" s="76"/>
      <c r="C12" s="29" t="s">
        <v>60</v>
      </c>
      <c r="D12" s="75"/>
      <c r="E12" s="39"/>
      <c r="F12" s="39"/>
    </row>
    <row r="13" spans="2:6" s="32" customFormat="1" ht="15" x14ac:dyDescent="0.2">
      <c r="B13" s="76"/>
      <c r="C13" s="29" t="s">
        <v>61</v>
      </c>
      <c r="D13" s="75" t="s">
        <v>464</v>
      </c>
      <c r="E13" s="39"/>
      <c r="F13" s="39"/>
    </row>
    <row r="14" spans="2:6" s="32" customFormat="1" ht="15" x14ac:dyDescent="0.2">
      <c r="B14" s="76"/>
      <c r="C14" s="77"/>
      <c r="D14" s="75"/>
      <c r="E14" s="39"/>
      <c r="F14" s="39"/>
    </row>
    <row r="15" spans="2:6" s="32" customFormat="1" ht="15" x14ac:dyDescent="0.2">
      <c r="B15" s="74" t="s">
        <v>62</v>
      </c>
      <c r="C15" s="78" t="s">
        <v>63</v>
      </c>
      <c r="D15" s="75"/>
      <c r="E15" s="39"/>
      <c r="F15" s="39"/>
    </row>
    <row r="16" spans="2:6" s="32" customFormat="1" ht="15" x14ac:dyDescent="0.2">
      <c r="B16" s="76"/>
      <c r="C16" s="29" t="s">
        <v>59</v>
      </c>
      <c r="D16" s="75"/>
      <c r="E16" s="39"/>
      <c r="F16" s="39"/>
    </row>
    <row r="17" spans="2:6" x14ac:dyDescent="0.2">
      <c r="B17" s="76"/>
      <c r="C17" s="29" t="s">
        <v>60</v>
      </c>
      <c r="D17" s="75"/>
      <c r="E17" s="27"/>
      <c r="F17" s="27"/>
    </row>
    <row r="18" spans="2:6" x14ac:dyDescent="0.2">
      <c r="B18" s="79"/>
      <c r="C18" s="29" t="s">
        <v>64</v>
      </c>
      <c r="D18" s="75"/>
      <c r="E18" s="27"/>
      <c r="F18" s="27"/>
    </row>
    <row r="19" spans="2:6" ht="15" x14ac:dyDescent="0.2">
      <c r="B19" s="79"/>
      <c r="C19" s="78"/>
      <c r="D19" s="75"/>
      <c r="E19" s="27"/>
      <c r="F19" s="27"/>
    </row>
    <row r="20" spans="2:6" ht="17.25" customHeight="1" x14ac:dyDescent="0.2">
      <c r="B20" s="74">
        <v>2</v>
      </c>
      <c r="C20" s="73" t="s">
        <v>166</v>
      </c>
      <c r="D20" s="75"/>
      <c r="E20" s="27"/>
      <c r="F20" s="27"/>
    </row>
    <row r="21" spans="2:6" ht="17.25" customHeight="1" x14ac:dyDescent="0.2">
      <c r="B21" s="74"/>
      <c r="C21" s="73" t="s">
        <v>65</v>
      </c>
      <c r="D21" s="75"/>
      <c r="E21" s="27"/>
      <c r="F21" s="27"/>
    </row>
    <row r="22" spans="2:6" ht="17.25" customHeight="1" x14ac:dyDescent="0.2">
      <c r="B22" s="74"/>
      <c r="C22" s="73" t="s">
        <v>65</v>
      </c>
      <c r="D22" s="75"/>
      <c r="E22" s="27"/>
      <c r="F22" s="27"/>
    </row>
    <row r="23" spans="2:6" ht="15" x14ac:dyDescent="0.2">
      <c r="B23" s="76"/>
      <c r="C23" s="78" t="s">
        <v>66</v>
      </c>
      <c r="D23" s="75"/>
      <c r="E23" s="27"/>
      <c r="F23" s="27"/>
    </row>
    <row r="25" spans="2:6" ht="15" x14ac:dyDescent="0.2">
      <c r="B25" s="80" t="s">
        <v>54</v>
      </c>
      <c r="C25" s="81"/>
      <c r="D25" s="81"/>
      <c r="E25" s="81"/>
    </row>
    <row r="26" spans="2:6" x14ac:dyDescent="0.2">
      <c r="B26" s="5" t="s">
        <v>210</v>
      </c>
      <c r="D26" s="82"/>
      <c r="E26" s="81"/>
    </row>
    <row r="27" spans="2:6" ht="18" customHeight="1" x14ac:dyDescent="0.2">
      <c r="B27" s="81"/>
      <c r="E27" s="81"/>
    </row>
    <row r="28" spans="2:6" x14ac:dyDescent="0.2">
      <c r="B28" s="81"/>
      <c r="C28" s="81"/>
      <c r="D28" s="81"/>
      <c r="E28" s="81"/>
    </row>
    <row r="29" spans="2:6" x14ac:dyDescent="0.2">
      <c r="B29" s="81"/>
      <c r="C29" s="81"/>
      <c r="D29" s="81"/>
      <c r="E29" s="81"/>
    </row>
    <row r="30" spans="2:6" x14ac:dyDescent="0.2">
      <c r="B30" s="81"/>
      <c r="C30" s="81"/>
      <c r="D30" s="81"/>
      <c r="E30" s="81"/>
    </row>
    <row r="31" spans="2:6" x14ac:dyDescent="0.2">
      <c r="B31" s="81"/>
      <c r="C31" s="81"/>
      <c r="D31" s="81"/>
      <c r="E31" s="81"/>
    </row>
  </sheetData>
  <mergeCells count="4">
    <mergeCell ref="B6:B8"/>
    <mergeCell ref="C6:C8"/>
    <mergeCell ref="B4:F4"/>
    <mergeCell ref="B2:F2"/>
  </mergeCells>
  <pageMargins left="0.75" right="0.75" top="1" bottom="1" header="0.5" footer="0.5"/>
  <pageSetup paperSize="9" scale="12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48"/>
  <sheetViews>
    <sheetView showGridLines="0" view="pageBreakPreview" topLeftCell="A21" zoomScale="93" zoomScaleNormal="91" zoomScaleSheetLayoutView="93" workbookViewId="0">
      <selection activeCell="I11" sqref="I11"/>
    </sheetView>
  </sheetViews>
  <sheetFormatPr defaultColWidth="9.28515625" defaultRowHeight="14.25" x14ac:dyDescent="0.2"/>
  <cols>
    <col min="1" max="1" width="3.28515625" style="5" customWidth="1"/>
    <col min="2" max="2" width="6.28515625" style="5" customWidth="1"/>
    <col min="3" max="3" width="44.85546875" style="5" customWidth="1"/>
    <col min="4" max="4" width="11" style="34" customWidth="1"/>
    <col min="5" max="5" width="14" style="34" customWidth="1"/>
    <col min="6" max="6" width="12.140625" style="5" customWidth="1"/>
    <col min="7" max="7" width="15" style="5" customWidth="1"/>
    <col min="8" max="8" width="13.7109375" style="5" customWidth="1"/>
    <col min="9" max="10" width="13.28515625" style="5" customWidth="1"/>
    <col min="11" max="11" width="12.7109375" style="5" customWidth="1"/>
    <col min="12" max="12" width="15.7109375" style="5" customWidth="1"/>
    <col min="13" max="16384" width="9.28515625" style="5"/>
  </cols>
  <sheetData>
    <row r="2" spans="2:12" ht="15" x14ac:dyDescent="0.2">
      <c r="B2" s="36"/>
      <c r="D2" s="5"/>
      <c r="E2" s="279" t="s">
        <v>403</v>
      </c>
      <c r="F2" s="279"/>
    </row>
    <row r="3" spans="2:12" ht="15" x14ac:dyDescent="0.2">
      <c r="B3" s="32"/>
      <c r="D3" s="5"/>
      <c r="E3" s="279" t="s">
        <v>468</v>
      </c>
      <c r="F3" s="279"/>
    </row>
    <row r="4" spans="2:12" s="13" customFormat="1" ht="15" x14ac:dyDescent="0.2">
      <c r="B4" s="36"/>
      <c r="C4" s="5"/>
      <c r="D4" s="279" t="s">
        <v>297</v>
      </c>
      <c r="E4" s="279"/>
      <c r="F4" s="279"/>
      <c r="G4" s="279"/>
      <c r="H4" s="5"/>
      <c r="I4" s="5"/>
      <c r="J4" s="5"/>
      <c r="K4" s="5"/>
      <c r="L4" s="5"/>
    </row>
    <row r="5" spans="2:12" s="13" customFormat="1" ht="15" x14ac:dyDescent="0.2">
      <c r="C5" s="70"/>
      <c r="D5" s="34"/>
      <c r="E5" s="34"/>
      <c r="F5" s="222"/>
      <c r="G5" s="222"/>
      <c r="H5" s="222"/>
    </row>
    <row r="6" spans="2:12" ht="15" x14ac:dyDescent="0.2">
      <c r="B6" s="307" t="s">
        <v>193</v>
      </c>
      <c r="C6" s="309" t="s">
        <v>18</v>
      </c>
      <c r="D6" s="309" t="s">
        <v>39</v>
      </c>
      <c r="E6" s="290" t="s">
        <v>404</v>
      </c>
      <c r="F6" s="291"/>
      <c r="G6" s="292"/>
      <c r="H6" s="290" t="s">
        <v>405</v>
      </c>
      <c r="I6" s="291"/>
      <c r="J6" s="290" t="s">
        <v>467</v>
      </c>
      <c r="K6" s="292"/>
      <c r="L6" s="307" t="s">
        <v>11</v>
      </c>
    </row>
    <row r="7" spans="2:12" ht="30" x14ac:dyDescent="0.2">
      <c r="B7" s="309"/>
      <c r="C7" s="309"/>
      <c r="D7" s="309"/>
      <c r="E7" s="212" t="s">
        <v>370</v>
      </c>
      <c r="F7" s="212" t="s">
        <v>240</v>
      </c>
      <c r="G7" s="212" t="s">
        <v>208</v>
      </c>
      <c r="H7" s="212" t="s">
        <v>370</v>
      </c>
      <c r="I7" s="212" t="s">
        <v>232</v>
      </c>
      <c r="J7" s="212" t="s">
        <v>370</v>
      </c>
      <c r="K7" s="212" t="s">
        <v>232</v>
      </c>
      <c r="L7" s="307"/>
    </row>
    <row r="8" spans="2:12" ht="15" x14ac:dyDescent="0.2">
      <c r="B8" s="309"/>
      <c r="C8" s="309"/>
      <c r="D8" s="309"/>
      <c r="E8" s="212" t="s">
        <v>10</v>
      </c>
      <c r="F8" s="212" t="s">
        <v>12</v>
      </c>
      <c r="G8" s="212" t="s">
        <v>231</v>
      </c>
      <c r="H8" s="212" t="s">
        <v>10</v>
      </c>
      <c r="I8" s="212" t="s">
        <v>5</v>
      </c>
      <c r="J8" s="212" t="s">
        <v>10</v>
      </c>
      <c r="K8" s="212" t="s">
        <v>8</v>
      </c>
      <c r="L8" s="308"/>
    </row>
    <row r="9" spans="2:12" ht="15" x14ac:dyDescent="0.2">
      <c r="B9" s="212"/>
      <c r="C9" s="174"/>
      <c r="D9" s="223"/>
      <c r="E9" s="223"/>
      <c r="F9" s="220"/>
      <c r="G9" s="220"/>
      <c r="H9" s="220"/>
      <c r="I9" s="220"/>
      <c r="J9" s="220"/>
      <c r="K9" s="220"/>
      <c r="L9" s="220"/>
    </row>
    <row r="10" spans="2:12" ht="15" x14ac:dyDescent="0.2">
      <c r="B10" s="224">
        <v>1</v>
      </c>
      <c r="C10" s="225" t="s">
        <v>212</v>
      </c>
      <c r="D10" s="224" t="s">
        <v>40</v>
      </c>
      <c r="E10" s="224" t="s">
        <v>486</v>
      </c>
      <c r="F10" s="176">
        <v>1080</v>
      </c>
      <c r="G10" s="176"/>
      <c r="H10" s="176"/>
      <c r="I10" s="176"/>
      <c r="J10" s="176"/>
      <c r="K10" s="220"/>
      <c r="L10" s="220"/>
    </row>
    <row r="11" spans="2:12" ht="60.75" customHeight="1" x14ac:dyDescent="0.2">
      <c r="B11" s="224"/>
      <c r="C11" s="225" t="s">
        <v>344</v>
      </c>
      <c r="D11" s="224"/>
      <c r="E11" s="224" t="s">
        <v>487</v>
      </c>
      <c r="F11" s="176"/>
      <c r="G11" s="176"/>
      <c r="H11" s="176"/>
      <c r="I11" s="176"/>
      <c r="J11" s="176"/>
      <c r="K11" s="220"/>
      <c r="L11" s="220"/>
    </row>
    <row r="12" spans="2:12" ht="13.5" customHeight="1" x14ac:dyDescent="0.2">
      <c r="B12" s="224"/>
      <c r="C12" s="225" t="s">
        <v>221</v>
      </c>
      <c r="D12" s="224"/>
      <c r="E12" s="224" t="s">
        <v>488</v>
      </c>
      <c r="F12" s="176"/>
      <c r="G12" s="176"/>
      <c r="H12" s="176"/>
      <c r="I12" s="176"/>
      <c r="J12" s="176"/>
      <c r="K12" s="220"/>
      <c r="L12" s="220"/>
    </row>
    <row r="13" spans="2:12" ht="15" x14ac:dyDescent="0.2">
      <c r="B13" s="224"/>
      <c r="C13" s="225"/>
      <c r="D13" s="224"/>
      <c r="E13" s="224"/>
      <c r="F13" s="176"/>
      <c r="G13" s="176"/>
      <c r="H13" s="176"/>
      <c r="I13" s="176"/>
      <c r="J13" s="176"/>
      <c r="K13" s="220"/>
      <c r="L13" s="220"/>
    </row>
    <row r="14" spans="2:12" ht="15" x14ac:dyDescent="0.2">
      <c r="B14" s="212">
        <v>2</v>
      </c>
      <c r="C14" s="174" t="s">
        <v>173</v>
      </c>
      <c r="D14" s="224"/>
      <c r="E14" s="224"/>
      <c r="F14" s="176"/>
      <c r="G14" s="176"/>
      <c r="H14" s="176"/>
      <c r="I14" s="176"/>
      <c r="J14" s="176"/>
      <c r="K14" s="220"/>
      <c r="L14" s="220"/>
    </row>
    <row r="15" spans="2:12" x14ac:dyDescent="0.2">
      <c r="B15" s="224">
        <f>B14+0.1</f>
        <v>2.1</v>
      </c>
      <c r="C15" s="225" t="s">
        <v>41</v>
      </c>
      <c r="D15" s="224" t="s">
        <v>42</v>
      </c>
      <c r="E15" s="254">
        <v>85</v>
      </c>
      <c r="F15" s="254">
        <v>85</v>
      </c>
      <c r="G15" s="254">
        <v>85</v>
      </c>
      <c r="H15" s="254">
        <v>85</v>
      </c>
      <c r="I15" s="254">
        <v>85</v>
      </c>
      <c r="J15" s="254">
        <v>85</v>
      </c>
      <c r="K15" s="254">
        <v>85</v>
      </c>
      <c r="L15" s="220"/>
    </row>
    <row r="16" spans="2:12" ht="15" x14ac:dyDescent="0.2">
      <c r="B16" s="224">
        <f>B15+0.1</f>
        <v>2.2000000000000002</v>
      </c>
      <c r="C16" s="225" t="s">
        <v>157</v>
      </c>
      <c r="D16" s="224" t="s">
        <v>42</v>
      </c>
      <c r="E16" s="254"/>
      <c r="F16" s="255">
        <v>62.86</v>
      </c>
      <c r="G16" s="255">
        <v>62.86</v>
      </c>
      <c r="H16" s="255"/>
      <c r="I16" s="255">
        <v>85</v>
      </c>
      <c r="J16" s="255"/>
      <c r="K16" s="226">
        <v>85</v>
      </c>
      <c r="L16" s="220"/>
    </row>
    <row r="17" spans="2:12" ht="15" x14ac:dyDescent="0.2">
      <c r="B17" s="224"/>
      <c r="C17" s="225"/>
      <c r="D17" s="224"/>
      <c r="E17" s="254"/>
      <c r="F17" s="255"/>
      <c r="G17" s="255"/>
      <c r="H17" s="255"/>
      <c r="I17" s="255"/>
      <c r="J17" s="255"/>
      <c r="K17" s="226"/>
      <c r="L17" s="220"/>
    </row>
    <row r="18" spans="2:12" ht="15" x14ac:dyDescent="0.2">
      <c r="B18" s="212">
        <v>3</v>
      </c>
      <c r="C18" s="174" t="s">
        <v>174</v>
      </c>
      <c r="D18" s="224"/>
      <c r="E18" s="254"/>
      <c r="F18" s="255"/>
      <c r="G18" s="255"/>
      <c r="H18" s="255"/>
      <c r="I18" s="255"/>
      <c r="J18" s="255"/>
      <c r="K18" s="226"/>
      <c r="L18" s="220"/>
    </row>
    <row r="19" spans="2:12" x14ac:dyDescent="0.2">
      <c r="B19" s="224">
        <f>B18+0.1</f>
        <v>3.1</v>
      </c>
      <c r="C19" s="225" t="s">
        <v>43</v>
      </c>
      <c r="D19" s="224" t="s">
        <v>42</v>
      </c>
      <c r="E19" s="254">
        <v>85</v>
      </c>
      <c r="F19" s="254">
        <v>85</v>
      </c>
      <c r="G19" s="254">
        <v>85</v>
      </c>
      <c r="H19" s="254">
        <v>85</v>
      </c>
      <c r="I19" s="254">
        <v>85</v>
      </c>
      <c r="J19" s="254">
        <v>85</v>
      </c>
      <c r="K19" s="254">
        <v>85</v>
      </c>
      <c r="L19" s="220"/>
    </row>
    <row r="20" spans="2:12" ht="15" x14ac:dyDescent="0.2">
      <c r="B20" s="224">
        <f>B19+0.1</f>
        <v>3.2</v>
      </c>
      <c r="C20" s="225" t="s">
        <v>158</v>
      </c>
      <c r="D20" s="224" t="s">
        <v>42</v>
      </c>
      <c r="E20" s="254"/>
      <c r="F20" s="255">
        <v>66.7</v>
      </c>
      <c r="G20" s="255">
        <v>66.7</v>
      </c>
      <c r="H20" s="254">
        <v>85</v>
      </c>
      <c r="I20" s="254">
        <v>85.03</v>
      </c>
      <c r="J20" s="254">
        <v>85</v>
      </c>
      <c r="K20" s="254">
        <v>85.03</v>
      </c>
      <c r="L20" s="220"/>
    </row>
    <row r="21" spans="2:12" ht="15" x14ac:dyDescent="0.2">
      <c r="B21" s="224"/>
      <c r="C21" s="225"/>
      <c r="D21" s="224"/>
      <c r="E21" s="254"/>
      <c r="F21" s="255"/>
      <c r="G21" s="255"/>
      <c r="H21" s="255"/>
      <c r="I21" s="255"/>
      <c r="J21" s="255"/>
      <c r="K21" s="226"/>
      <c r="L21" s="220"/>
    </row>
    <row r="22" spans="2:12" ht="15" x14ac:dyDescent="0.2">
      <c r="B22" s="212">
        <v>4</v>
      </c>
      <c r="C22" s="174" t="s">
        <v>56</v>
      </c>
      <c r="D22" s="224"/>
      <c r="E22" s="254"/>
      <c r="F22" s="227"/>
      <c r="G22" s="255"/>
      <c r="H22" s="255"/>
      <c r="I22" s="255"/>
      <c r="J22" s="255"/>
      <c r="K22" s="226"/>
      <c r="L22" s="220"/>
    </row>
    <row r="23" spans="2:12" ht="15.75" x14ac:dyDescent="0.25">
      <c r="B23" s="224">
        <f>B22+0.1</f>
        <v>4.0999999999999996</v>
      </c>
      <c r="C23" s="225" t="s">
        <v>44</v>
      </c>
      <c r="D23" s="224" t="s">
        <v>45</v>
      </c>
      <c r="E23" s="254"/>
      <c r="F23" s="256">
        <v>4801.3670000000002</v>
      </c>
      <c r="G23" s="257">
        <f>F23</f>
        <v>4801.3670000000002</v>
      </c>
      <c r="H23" s="255"/>
      <c r="I23" s="258">
        <v>6275.4290000000001</v>
      </c>
      <c r="J23" s="255"/>
      <c r="K23" s="259">
        <v>7361.1</v>
      </c>
      <c r="L23" s="220"/>
    </row>
    <row r="24" spans="2:12" ht="15" x14ac:dyDescent="0.2">
      <c r="B24" s="224">
        <f>B23+0.1</f>
        <v>4.1999999999999993</v>
      </c>
      <c r="C24" s="228" t="s">
        <v>159</v>
      </c>
      <c r="D24" s="224" t="s">
        <v>45</v>
      </c>
      <c r="E24" s="254"/>
      <c r="F24" s="255">
        <v>5332.7929999999997</v>
      </c>
      <c r="G24" s="255">
        <f>F24</f>
        <v>5332.7929999999997</v>
      </c>
      <c r="H24" s="255"/>
      <c r="I24" s="255">
        <v>6913.1399999999994</v>
      </c>
      <c r="J24" s="255"/>
      <c r="K24" s="226">
        <v>8044.92</v>
      </c>
      <c r="L24" s="220"/>
    </row>
    <row r="25" spans="2:12" ht="15" x14ac:dyDescent="0.2">
      <c r="B25" s="224"/>
      <c r="C25" s="228"/>
      <c r="D25" s="224"/>
      <c r="E25" s="254"/>
      <c r="F25" s="255"/>
      <c r="G25" s="255"/>
      <c r="H25" s="255"/>
      <c r="I25" s="255"/>
      <c r="J25" s="255"/>
      <c r="K25" s="226"/>
      <c r="L25" s="220"/>
    </row>
    <row r="26" spans="2:12" ht="15" x14ac:dyDescent="0.2">
      <c r="B26" s="212">
        <v>5</v>
      </c>
      <c r="C26" s="177" t="s">
        <v>171</v>
      </c>
      <c r="D26" s="224"/>
      <c r="E26" s="254"/>
      <c r="F26" s="255"/>
      <c r="G26" s="255"/>
      <c r="H26" s="255"/>
      <c r="I26" s="255"/>
      <c r="J26" s="255"/>
      <c r="K26" s="226"/>
      <c r="L26" s="220"/>
    </row>
    <row r="27" spans="2:12" x14ac:dyDescent="0.2">
      <c r="B27" s="224">
        <f>B26+0.1</f>
        <v>5.0999999999999996</v>
      </c>
      <c r="C27" s="228" t="s">
        <v>46</v>
      </c>
      <c r="D27" s="224" t="s">
        <v>42</v>
      </c>
      <c r="E27" s="254">
        <v>8.5</v>
      </c>
      <c r="F27" s="254">
        <v>8.5</v>
      </c>
      <c r="G27" s="254">
        <v>8.5</v>
      </c>
      <c r="H27" s="254">
        <v>8.5</v>
      </c>
      <c r="I27" s="254">
        <v>8.5</v>
      </c>
      <c r="J27" s="254">
        <v>8.5</v>
      </c>
      <c r="K27" s="254">
        <v>8.5</v>
      </c>
      <c r="L27" s="220"/>
    </row>
    <row r="28" spans="2:12" ht="16.5" customHeight="1" x14ac:dyDescent="0.2">
      <c r="B28" s="224">
        <f>B27+0.1</f>
        <v>5.1999999999999993</v>
      </c>
      <c r="C28" s="228" t="s">
        <v>160</v>
      </c>
      <c r="D28" s="224" t="s">
        <v>42</v>
      </c>
      <c r="E28" s="254"/>
      <c r="F28" s="257">
        <f>F29/F24*100</f>
        <v>9.9652471040972248</v>
      </c>
      <c r="G28" s="257">
        <f>F28</f>
        <v>9.9652471040972248</v>
      </c>
      <c r="H28" s="254"/>
      <c r="I28" s="260">
        <f>I29/I24*100</f>
        <v>9.2246215178630759</v>
      </c>
      <c r="J28" s="254">
        <v>8.5</v>
      </c>
      <c r="K28" s="254">
        <v>8.5</v>
      </c>
      <c r="L28" s="220"/>
    </row>
    <row r="29" spans="2:12" ht="16.5" customHeight="1" x14ac:dyDescent="0.2">
      <c r="B29" s="224">
        <f>B28+0.1</f>
        <v>5.2999999999999989</v>
      </c>
      <c r="C29" s="228" t="s">
        <v>160</v>
      </c>
      <c r="D29" s="224" t="s">
        <v>45</v>
      </c>
      <c r="E29" s="254"/>
      <c r="F29" s="257">
        <f>F24-F23</f>
        <v>531.42599999999948</v>
      </c>
      <c r="G29" s="255">
        <f>F29</f>
        <v>531.42599999999948</v>
      </c>
      <c r="H29" s="255"/>
      <c r="I29" s="257">
        <f>I24-I23</f>
        <v>637.71099999999933</v>
      </c>
      <c r="J29" s="255"/>
      <c r="K29" s="226">
        <v>683.82</v>
      </c>
      <c r="L29" s="220"/>
    </row>
    <row r="30" spans="2:12" ht="15" x14ac:dyDescent="0.2">
      <c r="B30" s="224">
        <f>B29+0.1</f>
        <v>5.3999999999999986</v>
      </c>
      <c r="C30" s="228" t="s">
        <v>47</v>
      </c>
      <c r="D30" s="224" t="s">
        <v>45</v>
      </c>
      <c r="E30" s="254"/>
      <c r="F30" s="257">
        <f>F23</f>
        <v>4801.3670000000002</v>
      </c>
      <c r="G30" s="257">
        <f>F30</f>
        <v>4801.3670000000002</v>
      </c>
      <c r="H30" s="255"/>
      <c r="I30" s="257">
        <f>I23</f>
        <v>6275.4290000000001</v>
      </c>
      <c r="J30" s="255"/>
      <c r="K30" s="229">
        <v>7361.1</v>
      </c>
      <c r="L30" s="220"/>
    </row>
    <row r="31" spans="2:12" ht="15" x14ac:dyDescent="0.2">
      <c r="B31" s="224"/>
      <c r="C31" s="228"/>
      <c r="D31" s="224"/>
      <c r="E31" s="254"/>
      <c r="F31" s="255"/>
      <c r="G31" s="255"/>
      <c r="H31" s="255"/>
      <c r="I31" s="255"/>
      <c r="J31" s="255"/>
      <c r="K31" s="226"/>
      <c r="L31" s="220"/>
    </row>
    <row r="32" spans="2:12" ht="15" x14ac:dyDescent="0.2">
      <c r="B32" s="212">
        <v>6</v>
      </c>
      <c r="C32" s="177" t="s">
        <v>207</v>
      </c>
      <c r="D32" s="224"/>
      <c r="E32" s="254"/>
      <c r="F32" s="255"/>
      <c r="G32" s="255"/>
      <c r="H32" s="255"/>
      <c r="I32" s="255"/>
      <c r="J32" s="255"/>
      <c r="K32" s="226"/>
      <c r="L32" s="220"/>
    </row>
    <row r="33" spans="2:12" x14ac:dyDescent="0.2">
      <c r="B33" s="224">
        <f>B32+0.1</f>
        <v>6.1</v>
      </c>
      <c r="C33" s="228" t="s">
        <v>48</v>
      </c>
      <c r="D33" s="224" t="s">
        <v>49</v>
      </c>
      <c r="E33" s="254">
        <v>2318.4</v>
      </c>
      <c r="F33" s="254">
        <v>2318.4</v>
      </c>
      <c r="G33" s="254">
        <v>2318.4</v>
      </c>
      <c r="H33" s="254">
        <v>2318.4</v>
      </c>
      <c r="I33" s="254">
        <v>2318.4</v>
      </c>
      <c r="J33" s="254">
        <v>2318.4</v>
      </c>
      <c r="K33" s="254">
        <v>2318.4</v>
      </c>
      <c r="L33" s="220"/>
    </row>
    <row r="34" spans="2:12" ht="15" x14ac:dyDescent="0.2">
      <c r="B34" s="224">
        <f>B33+0.1</f>
        <v>6.1999999999999993</v>
      </c>
      <c r="C34" s="225" t="s">
        <v>161</v>
      </c>
      <c r="D34" s="224" t="s">
        <v>49</v>
      </c>
      <c r="E34" s="254"/>
      <c r="F34" s="257">
        <v>2379.1888103090446</v>
      </c>
      <c r="G34" s="255">
        <v>2376</v>
      </c>
      <c r="H34" s="255"/>
      <c r="I34" s="255">
        <v>2318.4</v>
      </c>
      <c r="J34" s="255"/>
      <c r="K34" s="226">
        <v>2318.4</v>
      </c>
      <c r="L34" s="220"/>
    </row>
    <row r="35" spans="2:12" ht="15" x14ac:dyDescent="0.2">
      <c r="B35" s="224"/>
      <c r="C35" s="225"/>
      <c r="D35" s="224"/>
      <c r="E35" s="254"/>
      <c r="F35" s="255"/>
      <c r="G35" s="255"/>
      <c r="H35" s="255"/>
      <c r="I35" s="255"/>
      <c r="J35" s="255"/>
      <c r="K35" s="226"/>
      <c r="L35" s="220"/>
    </row>
    <row r="36" spans="2:12" ht="15" x14ac:dyDescent="0.2">
      <c r="B36" s="212">
        <v>7</v>
      </c>
      <c r="C36" s="174" t="s">
        <v>175</v>
      </c>
      <c r="D36" s="224"/>
      <c r="E36" s="254"/>
      <c r="F36" s="255"/>
      <c r="G36" s="255"/>
      <c r="H36" s="255"/>
      <c r="I36" s="255"/>
      <c r="J36" s="255"/>
      <c r="K36" s="226"/>
      <c r="L36" s="220"/>
    </row>
    <row r="37" spans="2:12" x14ac:dyDescent="0.2">
      <c r="B37" s="224">
        <f>B36+0.1</f>
        <v>7.1</v>
      </c>
      <c r="C37" s="225" t="s">
        <v>50</v>
      </c>
      <c r="D37" s="224" t="s">
        <v>51</v>
      </c>
      <c r="E37" s="254">
        <v>0.5</v>
      </c>
      <c r="F37" s="254">
        <v>0.5</v>
      </c>
      <c r="G37" s="254">
        <v>0.5</v>
      </c>
      <c r="H37" s="254">
        <v>0.5</v>
      </c>
      <c r="I37" s="254">
        <v>0.5</v>
      </c>
      <c r="J37" s="254">
        <v>0.5</v>
      </c>
      <c r="K37" s="254">
        <v>0.5</v>
      </c>
      <c r="L37" s="220"/>
    </row>
    <row r="38" spans="2:12" ht="28.5" x14ac:dyDescent="0.2">
      <c r="B38" s="224">
        <f>B37+0.1</f>
        <v>7.1999999999999993</v>
      </c>
      <c r="C38" s="225" t="s">
        <v>162</v>
      </c>
      <c r="D38" s="224" t="s">
        <v>51</v>
      </c>
      <c r="E38" s="254"/>
      <c r="F38" s="257">
        <v>0.29309219390289482</v>
      </c>
      <c r="G38" s="257">
        <f>F38</f>
        <v>0.29309219390289482</v>
      </c>
      <c r="H38" s="255"/>
      <c r="I38" s="255">
        <v>0.5</v>
      </c>
      <c r="J38" s="255"/>
      <c r="K38" s="226">
        <v>0.5</v>
      </c>
      <c r="L38" s="220"/>
    </row>
    <row r="39" spans="2:12" ht="15" x14ac:dyDescent="0.2">
      <c r="B39" s="224"/>
      <c r="C39" s="225"/>
      <c r="D39" s="224"/>
      <c r="E39" s="254"/>
      <c r="F39" s="255"/>
      <c r="G39" s="255"/>
      <c r="H39" s="255"/>
      <c r="I39" s="255"/>
      <c r="J39" s="255"/>
      <c r="K39" s="226"/>
      <c r="L39" s="220"/>
    </row>
    <row r="40" spans="2:12" ht="15" x14ac:dyDescent="0.2">
      <c r="B40" s="212">
        <v>8</v>
      </c>
      <c r="C40" s="174" t="s">
        <v>53</v>
      </c>
      <c r="D40" s="224"/>
      <c r="E40" s="254"/>
      <c r="F40" s="255"/>
      <c r="G40" s="255"/>
      <c r="H40" s="255"/>
      <c r="I40" s="255"/>
      <c r="J40" s="255"/>
      <c r="K40" s="226"/>
      <c r="L40" s="220"/>
    </row>
    <row r="41" spans="2:12" x14ac:dyDescent="0.2">
      <c r="B41" s="224">
        <f>B40+0.1</f>
        <v>8.1</v>
      </c>
      <c r="C41" s="225" t="s">
        <v>52</v>
      </c>
      <c r="D41" s="224" t="s">
        <v>42</v>
      </c>
      <c r="E41" s="254">
        <v>0.8</v>
      </c>
      <c r="F41" s="254">
        <v>0.8</v>
      </c>
      <c r="G41" s="254">
        <v>0.8</v>
      </c>
      <c r="H41" s="254">
        <v>0.8</v>
      </c>
      <c r="I41" s="254">
        <v>0.8</v>
      </c>
      <c r="J41" s="254">
        <v>0.8</v>
      </c>
      <c r="K41" s="254">
        <v>0.8</v>
      </c>
      <c r="L41" s="220"/>
    </row>
    <row r="42" spans="2:12" ht="15" x14ac:dyDescent="0.2">
      <c r="B42" s="224">
        <f>B41+0.1</f>
        <v>8.1999999999999993</v>
      </c>
      <c r="C42" s="225" t="s">
        <v>163</v>
      </c>
      <c r="D42" s="224" t="s">
        <v>42</v>
      </c>
      <c r="E42" s="254"/>
      <c r="F42" s="255"/>
      <c r="G42" s="255"/>
      <c r="H42" s="255"/>
      <c r="I42" s="255">
        <v>0.8</v>
      </c>
      <c r="J42" s="255"/>
      <c r="K42" s="226">
        <v>0.8</v>
      </c>
      <c r="L42" s="220"/>
    </row>
    <row r="43" spans="2:12" ht="15" x14ac:dyDescent="0.2">
      <c r="B43" s="212"/>
      <c r="C43" s="174"/>
      <c r="D43" s="223"/>
      <c r="E43" s="223"/>
      <c r="F43" s="212"/>
      <c r="G43" s="212"/>
      <c r="H43" s="212"/>
      <c r="I43" s="212"/>
      <c r="J43" s="212"/>
      <c r="K43" s="220"/>
      <c r="L43" s="220"/>
    </row>
    <row r="44" spans="2:12" ht="15" x14ac:dyDescent="0.2">
      <c r="B44" s="38"/>
      <c r="C44" s="83"/>
      <c r="D44" s="230"/>
      <c r="E44" s="230"/>
      <c r="F44" s="38"/>
      <c r="G44" s="38"/>
      <c r="H44" s="38"/>
      <c r="I44" s="38"/>
      <c r="J44" s="38"/>
    </row>
    <row r="45" spans="2:12" ht="16.5" x14ac:dyDescent="0.2">
      <c r="D45" s="231"/>
      <c r="E45" s="231"/>
      <c r="F45" s="84"/>
      <c r="G45" s="84"/>
      <c r="H45" s="84"/>
      <c r="I45" s="84"/>
      <c r="J45" s="84"/>
    </row>
    <row r="46" spans="2:12" ht="16.5" x14ac:dyDescent="0.2">
      <c r="B46" s="13"/>
      <c r="F46" s="84"/>
      <c r="G46" s="84"/>
      <c r="H46" s="84"/>
      <c r="I46" s="84"/>
      <c r="J46" s="84"/>
    </row>
    <row r="47" spans="2:12" ht="16.5" x14ac:dyDescent="0.2">
      <c r="C47" s="48"/>
      <c r="F47" s="84"/>
      <c r="G47" s="84"/>
      <c r="H47" s="84"/>
      <c r="I47" s="84"/>
      <c r="J47" s="84"/>
    </row>
    <row r="48" spans="2:12" x14ac:dyDescent="0.2">
      <c r="F48" s="232"/>
      <c r="G48" s="232"/>
      <c r="H48" s="232"/>
      <c r="I48" s="232"/>
      <c r="J48" s="232"/>
    </row>
  </sheetData>
  <mergeCells count="10">
    <mergeCell ref="E2:F2"/>
    <mergeCell ref="E3:F3"/>
    <mergeCell ref="D4:G4"/>
    <mergeCell ref="L6:L8"/>
    <mergeCell ref="B6:B8"/>
    <mergeCell ref="C6:C8"/>
    <mergeCell ref="D6:D8"/>
    <mergeCell ref="E6:G6"/>
    <mergeCell ref="H6:I6"/>
    <mergeCell ref="J6:K6"/>
  </mergeCells>
  <pageMargins left="0.66" right="0.5" top="0.43" bottom="0.63" header="0.5" footer="0.5"/>
  <pageSetup paperSize="9" scale="74"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3"/>
  <sheetViews>
    <sheetView showGridLines="0" showWhiteSpace="0" view="pageBreakPreview" zoomScale="89" zoomScaleNormal="91" zoomScaleSheetLayoutView="89" zoomScalePageLayoutView="48" workbookViewId="0">
      <selection sqref="A1:XFD1048576"/>
    </sheetView>
  </sheetViews>
  <sheetFormatPr defaultColWidth="9.28515625" defaultRowHeight="14.25" x14ac:dyDescent="0.2"/>
  <cols>
    <col min="1" max="1" width="2.28515625" style="85" customWidth="1"/>
    <col min="2" max="2" width="9.28515625" style="85"/>
    <col min="3" max="3" width="57.5703125" style="85" customWidth="1"/>
    <col min="4" max="4" width="8.42578125" style="186" customWidth="1"/>
    <col min="5" max="5" width="12" style="85" bestFit="1" customWidth="1"/>
    <col min="6" max="6" width="9.85546875" style="85" bestFit="1" customWidth="1"/>
    <col min="7" max="9" width="10.85546875" style="85" bestFit="1" customWidth="1"/>
    <col min="10" max="12" width="9.85546875" style="85" bestFit="1" customWidth="1"/>
    <col min="13" max="14" width="10.85546875" style="85" bestFit="1" customWidth="1"/>
    <col min="15" max="15" width="9.85546875" style="85" bestFit="1" customWidth="1"/>
    <col min="16" max="16" width="10.85546875" style="85" bestFit="1" customWidth="1"/>
    <col min="17" max="17" width="9.85546875" style="85" bestFit="1" customWidth="1"/>
    <col min="18" max="19" width="10.85546875" style="85" bestFit="1" customWidth="1"/>
    <col min="20" max="21" width="9.85546875" style="85" bestFit="1" customWidth="1"/>
    <col min="22" max="22" width="9.7109375" style="85" bestFit="1" customWidth="1"/>
    <col min="23" max="16384" width="9.28515625" style="85"/>
  </cols>
  <sheetData>
    <row r="2" spans="2:22" ht="14.25" customHeight="1" x14ac:dyDescent="0.2">
      <c r="B2" s="279" t="s">
        <v>403</v>
      </c>
      <c r="C2" s="279"/>
      <c r="D2" s="279"/>
      <c r="E2" s="279"/>
      <c r="F2" s="279"/>
      <c r="G2" s="279"/>
      <c r="H2" s="279"/>
      <c r="I2" s="279"/>
      <c r="J2" s="279"/>
      <c r="K2" s="279"/>
      <c r="L2" s="279"/>
      <c r="M2" s="279"/>
      <c r="N2" s="279"/>
      <c r="O2" s="279"/>
      <c r="P2" s="279"/>
      <c r="Q2" s="279"/>
      <c r="R2" s="279"/>
      <c r="S2" s="279"/>
      <c r="T2" s="279"/>
      <c r="U2" s="279"/>
      <c r="V2" s="279"/>
    </row>
    <row r="3" spans="2:22" ht="14.25" customHeight="1" x14ac:dyDescent="0.2">
      <c r="B3" s="279" t="s">
        <v>468</v>
      </c>
      <c r="C3" s="279"/>
      <c r="D3" s="279"/>
      <c r="E3" s="279"/>
      <c r="F3" s="279"/>
      <c r="G3" s="279"/>
      <c r="H3" s="279"/>
      <c r="I3" s="279"/>
      <c r="J3" s="279"/>
      <c r="K3" s="279"/>
      <c r="L3" s="279"/>
      <c r="M3" s="279"/>
      <c r="N3" s="279"/>
      <c r="O3" s="279"/>
      <c r="P3" s="279"/>
      <c r="Q3" s="279"/>
      <c r="R3" s="279"/>
      <c r="S3" s="279"/>
      <c r="T3" s="279"/>
      <c r="U3" s="279"/>
      <c r="V3" s="279"/>
    </row>
    <row r="4" spans="2:22" ht="14.25" customHeight="1" x14ac:dyDescent="0.2">
      <c r="B4" s="279" t="s">
        <v>345</v>
      </c>
      <c r="C4" s="279"/>
      <c r="D4" s="279"/>
      <c r="E4" s="279"/>
      <c r="F4" s="279"/>
      <c r="G4" s="279"/>
      <c r="H4" s="279"/>
      <c r="I4" s="279"/>
      <c r="J4" s="279"/>
      <c r="K4" s="279"/>
      <c r="L4" s="279"/>
      <c r="M4" s="279"/>
      <c r="N4" s="279"/>
      <c r="O4" s="279"/>
      <c r="P4" s="279"/>
      <c r="Q4" s="279"/>
      <c r="R4" s="279"/>
      <c r="S4" s="279"/>
      <c r="T4" s="279"/>
      <c r="U4" s="279"/>
      <c r="V4" s="279"/>
    </row>
    <row r="6" spans="2:22" ht="15" x14ac:dyDescent="0.2">
      <c r="B6" s="310" t="s">
        <v>193</v>
      </c>
      <c r="C6" s="310" t="s">
        <v>18</v>
      </c>
      <c r="D6" s="310" t="s">
        <v>39</v>
      </c>
      <c r="E6" s="310" t="s">
        <v>404</v>
      </c>
      <c r="F6" s="310"/>
      <c r="G6" s="310"/>
      <c r="H6" s="310"/>
      <c r="I6" s="310"/>
      <c r="J6" s="310"/>
      <c r="K6" s="310"/>
      <c r="L6" s="310"/>
      <c r="M6" s="310"/>
      <c r="N6" s="310"/>
      <c r="O6" s="310"/>
      <c r="P6" s="310"/>
      <c r="Q6" s="310" t="s">
        <v>405</v>
      </c>
      <c r="R6" s="310"/>
      <c r="S6" s="310"/>
      <c r="T6" s="310"/>
      <c r="U6" s="310"/>
      <c r="V6" s="310"/>
    </row>
    <row r="7" spans="2:22" ht="15" x14ac:dyDescent="0.2">
      <c r="B7" s="310"/>
      <c r="C7" s="310"/>
      <c r="D7" s="310"/>
      <c r="E7" s="184" t="s">
        <v>141</v>
      </c>
      <c r="F7" s="184" t="s">
        <v>142</v>
      </c>
      <c r="G7" s="184" t="s">
        <v>143</v>
      </c>
      <c r="H7" s="184" t="s">
        <v>144</v>
      </c>
      <c r="I7" s="184" t="s">
        <v>145</v>
      </c>
      <c r="J7" s="184" t="s">
        <v>146</v>
      </c>
      <c r="K7" s="184" t="s">
        <v>147</v>
      </c>
      <c r="L7" s="184" t="s">
        <v>148</v>
      </c>
      <c r="M7" s="184" t="s">
        <v>149</v>
      </c>
      <c r="N7" s="184" t="s">
        <v>150</v>
      </c>
      <c r="O7" s="184" t="s">
        <v>151</v>
      </c>
      <c r="P7" s="184" t="s">
        <v>152</v>
      </c>
      <c r="Q7" s="184" t="s">
        <v>141</v>
      </c>
      <c r="R7" s="184" t="s">
        <v>142</v>
      </c>
      <c r="S7" s="184" t="s">
        <v>143</v>
      </c>
      <c r="T7" s="184" t="s">
        <v>144</v>
      </c>
      <c r="U7" s="184" t="s">
        <v>145</v>
      </c>
      <c r="V7" s="184" t="s">
        <v>146</v>
      </c>
    </row>
    <row r="8" spans="2:22" ht="15" x14ac:dyDescent="0.2">
      <c r="B8" s="184" t="s">
        <v>67</v>
      </c>
      <c r="C8" s="185" t="s">
        <v>302</v>
      </c>
      <c r="E8" s="187"/>
      <c r="F8" s="187"/>
      <c r="G8" s="187"/>
      <c r="H8" s="187"/>
      <c r="I8" s="187"/>
      <c r="J8" s="187"/>
      <c r="K8" s="187"/>
      <c r="L8" s="187"/>
      <c r="M8" s="187"/>
      <c r="N8" s="187"/>
      <c r="O8" s="187"/>
      <c r="P8" s="187"/>
      <c r="Q8" s="187"/>
      <c r="R8" s="187"/>
      <c r="S8" s="187"/>
      <c r="T8" s="187"/>
      <c r="U8" s="187"/>
      <c r="V8" s="187"/>
    </row>
    <row r="9" spans="2:22" x14ac:dyDescent="0.2">
      <c r="B9" s="188">
        <v>1</v>
      </c>
      <c r="C9" s="187" t="s">
        <v>303</v>
      </c>
      <c r="D9" s="188" t="s">
        <v>305</v>
      </c>
      <c r="E9" s="189">
        <v>181569.360999998</v>
      </c>
      <c r="F9" s="189">
        <v>171154.20099999651</v>
      </c>
      <c r="G9" s="189">
        <v>154498.8209999986</v>
      </c>
      <c r="H9" s="189">
        <v>126774.21099999701</v>
      </c>
      <c r="I9" s="189">
        <v>135987.09099999629</v>
      </c>
      <c r="J9" s="189">
        <v>139634.23099999601</v>
      </c>
      <c r="K9" s="189">
        <v>75810.090999996697</v>
      </c>
      <c r="L9" s="189">
        <v>222670.95099999709</v>
      </c>
      <c r="M9" s="189">
        <v>310995.65099999704</v>
      </c>
      <c r="N9" s="189">
        <v>238065.92099999762</v>
      </c>
      <c r="O9" s="189">
        <v>192031.72099999641</v>
      </c>
      <c r="P9" s="189">
        <v>192863.45099999622</v>
      </c>
      <c r="Q9" s="189">
        <v>347736.36099999573</v>
      </c>
      <c r="R9" s="189">
        <v>358415.0809999936</v>
      </c>
      <c r="S9" s="189">
        <v>312639.62099999178</v>
      </c>
      <c r="T9" s="189">
        <v>248963.01099999165</v>
      </c>
      <c r="U9" s="189">
        <v>187715.88099999155</v>
      </c>
      <c r="V9" s="189">
        <v>107542.58099999133</v>
      </c>
    </row>
    <row r="10" spans="2:22" x14ac:dyDescent="0.2">
      <c r="B10" s="188">
        <f>B9+1</f>
        <v>2</v>
      </c>
      <c r="C10" s="187" t="s">
        <v>304</v>
      </c>
      <c r="D10" s="190" t="s">
        <v>433</v>
      </c>
      <c r="E10" s="191">
        <v>81.458438259608101</v>
      </c>
      <c r="F10" s="191">
        <v>79.544381932740421</v>
      </c>
      <c r="G10" s="191">
        <v>74.465671026557501</v>
      </c>
      <c r="H10" s="191">
        <v>59.531130194807723</v>
      </c>
      <c r="I10" s="191">
        <v>69.86507398188327</v>
      </c>
      <c r="J10" s="191">
        <v>64.453084878800865</v>
      </c>
      <c r="K10" s="191">
        <v>32.619574303992849</v>
      </c>
      <c r="L10" s="191">
        <v>87.464044101474855</v>
      </c>
      <c r="M10" s="191">
        <v>134.07714237147587</v>
      </c>
      <c r="N10" s="191">
        <v>112.40326700468181</v>
      </c>
      <c r="O10" s="191">
        <v>93.888559273912833</v>
      </c>
      <c r="P10" s="191">
        <v>93.796106038833713</v>
      </c>
      <c r="Q10" s="191">
        <v>178.95068939788078</v>
      </c>
      <c r="R10" s="191">
        <v>186.19864575299854</v>
      </c>
      <c r="S10" s="191">
        <v>164.0157475885986</v>
      </c>
      <c r="T10" s="191">
        <v>138.02938262916993</v>
      </c>
      <c r="U10" s="191">
        <v>94.661561057440792</v>
      </c>
      <c r="V10" s="191">
        <v>53.468299713029268</v>
      </c>
    </row>
    <row r="11" spans="2:22" ht="15" x14ac:dyDescent="0.2">
      <c r="B11" s="184" t="s">
        <v>71</v>
      </c>
      <c r="C11" s="185" t="s">
        <v>306</v>
      </c>
      <c r="D11" s="188"/>
      <c r="E11" s="189"/>
      <c r="F11" s="189"/>
      <c r="G11" s="189"/>
      <c r="H11" s="189"/>
      <c r="I11" s="189"/>
      <c r="J11" s="189"/>
      <c r="K11" s="192"/>
      <c r="L11" s="192"/>
      <c r="M11" s="192"/>
      <c r="N11" s="192"/>
      <c r="O11" s="192"/>
      <c r="P11" s="192"/>
      <c r="Q11" s="192"/>
      <c r="R11" s="192"/>
      <c r="S11" s="192"/>
      <c r="T11" s="192"/>
      <c r="U11" s="192"/>
      <c r="V11" s="192"/>
    </row>
    <row r="12" spans="2:22" x14ac:dyDescent="0.2">
      <c r="B12" s="188">
        <f>B10+1</f>
        <v>3</v>
      </c>
      <c r="C12" s="187" t="s">
        <v>307</v>
      </c>
      <c r="D12" s="188" t="s">
        <v>305</v>
      </c>
      <c r="E12" s="189">
        <v>436128.52999999898</v>
      </c>
      <c r="F12" s="189">
        <v>437306.99999999878</v>
      </c>
      <c r="G12" s="189">
        <v>395100.82999999658</v>
      </c>
      <c r="H12" s="189">
        <v>336667.97999999905</v>
      </c>
      <c r="I12" s="189">
        <v>330456.90000000002</v>
      </c>
      <c r="J12" s="189">
        <v>238531.99000000019</v>
      </c>
      <c r="K12" s="189">
        <v>459031.17999999598</v>
      </c>
      <c r="L12" s="189">
        <v>268584.93000000098</v>
      </c>
      <c r="M12" s="189">
        <v>227535.36000000045</v>
      </c>
      <c r="N12" s="189">
        <v>294365.19000000088</v>
      </c>
      <c r="O12" s="189">
        <v>305491.82000000041</v>
      </c>
      <c r="P12" s="189">
        <v>482605.79999999853</v>
      </c>
      <c r="Q12" s="189">
        <v>361074.95999999973</v>
      </c>
      <c r="R12" s="189">
        <v>356523.71999999881</v>
      </c>
      <c r="S12" s="189">
        <v>304208.67999999807</v>
      </c>
      <c r="T12" s="189">
        <v>264771.20000000059</v>
      </c>
      <c r="U12" s="189">
        <v>299827.02999999927</v>
      </c>
      <c r="V12" s="189">
        <v>361600.01000000036</v>
      </c>
    </row>
    <row r="13" spans="2:22" x14ac:dyDescent="0.2">
      <c r="B13" s="188">
        <f>B12+1</f>
        <v>4</v>
      </c>
      <c r="C13" s="187" t="s">
        <v>396</v>
      </c>
      <c r="D13" s="188" t="s">
        <v>305</v>
      </c>
      <c r="E13" s="189"/>
      <c r="F13" s="189"/>
      <c r="G13" s="189"/>
      <c r="H13" s="189"/>
      <c r="I13" s="189"/>
      <c r="J13" s="189"/>
      <c r="K13" s="192"/>
      <c r="L13" s="192"/>
      <c r="M13" s="192"/>
      <c r="N13" s="192"/>
      <c r="O13" s="192"/>
      <c r="P13" s="192"/>
      <c r="Q13" s="192"/>
      <c r="R13" s="192"/>
      <c r="S13" s="192"/>
      <c r="T13" s="192"/>
      <c r="U13" s="192"/>
      <c r="V13" s="192"/>
    </row>
    <row r="14" spans="2:22" ht="15" x14ac:dyDescent="0.2">
      <c r="B14" s="188">
        <f>B13+1</f>
        <v>5</v>
      </c>
      <c r="C14" s="187" t="s">
        <v>308</v>
      </c>
      <c r="D14" s="188" t="s">
        <v>305</v>
      </c>
      <c r="E14" s="193">
        <f>E12+E13</f>
        <v>436128.52999999898</v>
      </c>
      <c r="F14" s="193">
        <f t="shared" ref="F14:V14" si="0">F12+F13</f>
        <v>437306.99999999878</v>
      </c>
      <c r="G14" s="193">
        <f t="shared" si="0"/>
        <v>395100.82999999658</v>
      </c>
      <c r="H14" s="193">
        <f t="shared" si="0"/>
        <v>336667.97999999905</v>
      </c>
      <c r="I14" s="193">
        <f t="shared" si="0"/>
        <v>330456.90000000002</v>
      </c>
      <c r="J14" s="193">
        <f t="shared" si="0"/>
        <v>238531.99000000019</v>
      </c>
      <c r="K14" s="193">
        <f t="shared" si="0"/>
        <v>459031.17999999598</v>
      </c>
      <c r="L14" s="193">
        <f t="shared" si="0"/>
        <v>268584.93000000098</v>
      </c>
      <c r="M14" s="193">
        <f t="shared" si="0"/>
        <v>227535.36000000045</v>
      </c>
      <c r="N14" s="193">
        <f t="shared" si="0"/>
        <v>294365.19000000088</v>
      </c>
      <c r="O14" s="193">
        <f t="shared" si="0"/>
        <v>305491.82000000041</v>
      </c>
      <c r="P14" s="193">
        <f t="shared" si="0"/>
        <v>482605.79999999853</v>
      </c>
      <c r="Q14" s="193">
        <f t="shared" si="0"/>
        <v>361074.95999999973</v>
      </c>
      <c r="R14" s="193">
        <f t="shared" si="0"/>
        <v>356523.71999999881</v>
      </c>
      <c r="S14" s="193">
        <f t="shared" si="0"/>
        <v>304208.67999999807</v>
      </c>
      <c r="T14" s="193">
        <f t="shared" si="0"/>
        <v>264771.20000000059</v>
      </c>
      <c r="U14" s="193">
        <f t="shared" si="0"/>
        <v>299827.02999999927</v>
      </c>
      <c r="V14" s="193">
        <f t="shared" si="0"/>
        <v>361600.01000000036</v>
      </c>
    </row>
    <row r="15" spans="2:22" x14ac:dyDescent="0.2">
      <c r="B15" s="188">
        <f>B14+1</f>
        <v>6</v>
      </c>
      <c r="C15" s="187" t="s">
        <v>309</v>
      </c>
      <c r="D15" s="188" t="s">
        <v>305</v>
      </c>
      <c r="E15" s="189">
        <v>3489.0282400003634</v>
      </c>
      <c r="F15" s="189">
        <v>3498.4560000000056</v>
      </c>
      <c r="G15" s="189">
        <v>3160.8066399999661</v>
      </c>
      <c r="H15" s="189">
        <v>2693.3438399999868</v>
      </c>
      <c r="I15" s="189">
        <v>2643.6552000003285</v>
      </c>
      <c r="J15" s="189">
        <v>1908.255919999996</v>
      </c>
      <c r="K15" s="189">
        <v>3672.249439999985</v>
      </c>
      <c r="L15" s="189">
        <v>2148.6794400000363</v>
      </c>
      <c r="M15" s="189">
        <v>1820.2828800000134</v>
      </c>
      <c r="N15" s="189">
        <v>2354.9215200000326</v>
      </c>
      <c r="O15" s="189">
        <v>2443.9345600000233</v>
      </c>
      <c r="P15" s="189">
        <v>3860.8463999999803</v>
      </c>
      <c r="Q15" s="189">
        <v>2888.5996799999848</v>
      </c>
      <c r="R15" s="189">
        <v>2852.1897599999793</v>
      </c>
      <c r="S15" s="189">
        <v>2433.6694399999687</v>
      </c>
      <c r="T15" s="189">
        <v>2118.1696000000229</v>
      </c>
      <c r="U15" s="189">
        <v>2398.616240000003</v>
      </c>
      <c r="V15" s="189">
        <v>2892.8000800000154</v>
      </c>
    </row>
    <row r="16" spans="2:22" ht="15" x14ac:dyDescent="0.2">
      <c r="B16" s="188">
        <f>B15+1</f>
        <v>7</v>
      </c>
      <c r="C16" s="187" t="s">
        <v>310</v>
      </c>
      <c r="D16" s="188" t="s">
        <v>305</v>
      </c>
      <c r="E16" s="193">
        <f>E14-E15</f>
        <v>432639.50175999862</v>
      </c>
      <c r="F16" s="193">
        <f t="shared" ref="F16:V16" si="1">F14-F15</f>
        <v>433808.54399999877</v>
      </c>
      <c r="G16" s="193">
        <f t="shared" si="1"/>
        <v>391940.02335999662</v>
      </c>
      <c r="H16" s="193">
        <f t="shared" si="1"/>
        <v>333974.63615999906</v>
      </c>
      <c r="I16" s="193">
        <f t="shared" si="1"/>
        <v>327813.24479999969</v>
      </c>
      <c r="J16" s="193">
        <f t="shared" si="1"/>
        <v>236623.7340800002</v>
      </c>
      <c r="K16" s="193">
        <f t="shared" si="1"/>
        <v>455358.93055999599</v>
      </c>
      <c r="L16" s="193">
        <f t="shared" si="1"/>
        <v>266436.25056000095</v>
      </c>
      <c r="M16" s="193">
        <f t="shared" si="1"/>
        <v>225715.07712000044</v>
      </c>
      <c r="N16" s="193">
        <f t="shared" si="1"/>
        <v>292010.26848000084</v>
      </c>
      <c r="O16" s="193">
        <f t="shared" si="1"/>
        <v>303047.88544000039</v>
      </c>
      <c r="P16" s="193">
        <f t="shared" si="1"/>
        <v>478744.95359999855</v>
      </c>
      <c r="Q16" s="193">
        <f t="shared" si="1"/>
        <v>358186.36031999975</v>
      </c>
      <c r="R16" s="193">
        <f t="shared" si="1"/>
        <v>353671.53023999883</v>
      </c>
      <c r="S16" s="193">
        <f t="shared" si="1"/>
        <v>301775.0105599981</v>
      </c>
      <c r="T16" s="193">
        <f t="shared" si="1"/>
        <v>262653.03040000057</v>
      </c>
      <c r="U16" s="193">
        <f t="shared" si="1"/>
        <v>297428.41375999927</v>
      </c>
      <c r="V16" s="193">
        <f t="shared" si="1"/>
        <v>358707.20992000034</v>
      </c>
    </row>
    <row r="17" spans="2:22" ht="15" x14ac:dyDescent="0.2">
      <c r="B17" s="184" t="s">
        <v>72</v>
      </c>
      <c r="C17" s="185" t="s">
        <v>311</v>
      </c>
      <c r="D17" s="188"/>
      <c r="E17" s="187"/>
      <c r="F17" s="187"/>
      <c r="G17" s="187"/>
      <c r="H17" s="187"/>
      <c r="I17" s="187"/>
      <c r="J17" s="187"/>
      <c r="K17" s="187"/>
      <c r="L17" s="187"/>
      <c r="M17" s="187"/>
      <c r="N17" s="187"/>
      <c r="O17" s="187"/>
      <c r="P17" s="187"/>
      <c r="Q17" s="187"/>
      <c r="R17" s="187"/>
      <c r="S17" s="187"/>
      <c r="T17" s="187"/>
      <c r="U17" s="187"/>
      <c r="V17" s="187"/>
    </row>
    <row r="18" spans="2:22" x14ac:dyDescent="0.2">
      <c r="B18" s="188">
        <f>B16+1</f>
        <v>8</v>
      </c>
      <c r="C18" s="187" t="s">
        <v>312</v>
      </c>
      <c r="D18" s="190" t="s">
        <v>433</v>
      </c>
      <c r="E18" s="191">
        <v>210.27876687700135</v>
      </c>
      <c r="F18" s="191">
        <v>241.84822966500025</v>
      </c>
      <c r="G18" s="191">
        <v>217.93948623600136</v>
      </c>
      <c r="H18" s="191">
        <v>171.98420174800168</v>
      </c>
      <c r="I18" s="191">
        <v>165.44581569800326</v>
      </c>
      <c r="J18" s="191">
        <v>108.13580534500019</v>
      </c>
      <c r="K18" s="191">
        <v>209.60209138100217</v>
      </c>
      <c r="L18" s="191">
        <v>139.88343543100183</v>
      </c>
      <c r="M18" s="191">
        <v>132.79461858800227</v>
      </c>
      <c r="N18" s="191">
        <v>158.72095617299956</v>
      </c>
      <c r="O18" s="191">
        <v>149.68271782600058</v>
      </c>
      <c r="P18" s="191">
        <v>246.23016441199965</v>
      </c>
      <c r="Q18" s="191">
        <v>200.55532218999971</v>
      </c>
      <c r="R18" s="191">
        <v>214.34580722000089</v>
      </c>
      <c r="S18" s="191">
        <v>166.8452681170009</v>
      </c>
      <c r="T18" s="191">
        <v>118.16474482000027</v>
      </c>
      <c r="U18" s="191">
        <v>146.49437911799964</v>
      </c>
      <c r="V18" s="191">
        <v>170.23759469600077</v>
      </c>
    </row>
    <row r="19" spans="2:22" x14ac:dyDescent="0.2">
      <c r="B19" s="188">
        <f>B18+1</f>
        <v>9</v>
      </c>
      <c r="C19" s="187" t="s">
        <v>313</v>
      </c>
      <c r="D19" s="190" t="s">
        <v>433</v>
      </c>
      <c r="E19" s="191">
        <v>-12.416056551187495</v>
      </c>
      <c r="F19" s="191">
        <v>-35.968331385981664</v>
      </c>
      <c r="G19" s="191">
        <v>-41.35760861934488</v>
      </c>
      <c r="H19" s="191">
        <v>0.74767452800403089</v>
      </c>
      <c r="I19" s="191">
        <v>-25.798918668045808</v>
      </c>
      <c r="J19" s="191">
        <v>-14.217721951979229</v>
      </c>
      <c r="K19" s="191">
        <v>-40.132381695587846</v>
      </c>
      <c r="L19" s="191">
        <v>-20.200189416952394</v>
      </c>
      <c r="M19" s="191">
        <v>-16.460990290453758</v>
      </c>
      <c r="N19" s="191">
        <v>-15.839123593502993</v>
      </c>
      <c r="O19" s="191">
        <v>-6.3708645525238756</v>
      </c>
      <c r="P19" s="191">
        <v>-0.76187756433260589</v>
      </c>
      <c r="Q19" s="191">
        <v>-17.596633560489256</v>
      </c>
      <c r="R19" s="191">
        <v>-31.803716527343756</v>
      </c>
      <c r="S19" s="191">
        <v>5.4568657163507819</v>
      </c>
      <c r="T19" s="191">
        <v>-1.9619281108460247</v>
      </c>
      <c r="U19" s="191">
        <v>-4.234884195508787</v>
      </c>
      <c r="V19" s="191">
        <v>-13.118998328994458</v>
      </c>
    </row>
    <row r="20" spans="2:22" x14ac:dyDescent="0.2">
      <c r="B20" s="188">
        <f>B19+1</f>
        <v>10</v>
      </c>
      <c r="C20" s="187" t="s">
        <v>314</v>
      </c>
      <c r="D20" s="190" t="s">
        <v>433</v>
      </c>
      <c r="E20" s="191">
        <v>0.34433639999999999</v>
      </c>
      <c r="F20" s="191">
        <v>0.34185339999999997</v>
      </c>
      <c r="G20" s="191">
        <v>0.31492769999999998</v>
      </c>
      <c r="H20" s="191">
        <v>0.32902320000000002</v>
      </c>
      <c r="I20" s="191">
        <v>0.44602972499999999</v>
      </c>
      <c r="J20" s="191">
        <v>0.406931388</v>
      </c>
      <c r="K20" s="191">
        <v>0.40798547499999999</v>
      </c>
      <c r="L20" s="191">
        <v>0.42319322800000003</v>
      </c>
      <c r="M20" s="191">
        <v>0.32753552200000002</v>
      </c>
      <c r="N20" s="191">
        <v>0.412969219</v>
      </c>
      <c r="O20" s="191">
        <v>6.7721139999999985E-2</v>
      </c>
      <c r="P20" s="191">
        <v>0.51706372599999995</v>
      </c>
      <c r="Q20" s="191">
        <v>0.40244617400000005</v>
      </c>
      <c r="R20" s="191">
        <v>0.38185446200000001</v>
      </c>
      <c r="S20" s="191">
        <v>0.377821715</v>
      </c>
      <c r="T20" s="191">
        <v>0.39402290000000001</v>
      </c>
      <c r="U20" s="191">
        <v>0.44232849500000004</v>
      </c>
      <c r="V20" s="191">
        <v>0.39603865199999999</v>
      </c>
    </row>
    <row r="21" spans="2:22" ht="15" x14ac:dyDescent="0.2">
      <c r="B21" s="188">
        <f>B20+1</f>
        <v>11</v>
      </c>
      <c r="C21" s="187" t="s">
        <v>315</v>
      </c>
      <c r="D21" s="190" t="s">
        <v>433</v>
      </c>
      <c r="E21" s="194">
        <f>E18+E19+E20</f>
        <v>198.20704672581385</v>
      </c>
      <c r="F21" s="194">
        <f t="shared" ref="F21:V21" si="2">F18+F19+F20</f>
        <v>206.22175167901858</v>
      </c>
      <c r="G21" s="194">
        <f t="shared" si="2"/>
        <v>176.89680531665647</v>
      </c>
      <c r="H21" s="194">
        <f t="shared" si="2"/>
        <v>173.06089947600572</v>
      </c>
      <c r="I21" s="194">
        <f t="shared" si="2"/>
        <v>140.09292675495743</v>
      </c>
      <c r="J21" s="194">
        <f t="shared" si="2"/>
        <v>94.325014781020968</v>
      </c>
      <c r="K21" s="194">
        <f t="shared" si="2"/>
        <v>169.87769516041433</v>
      </c>
      <c r="L21" s="194">
        <f t="shared" si="2"/>
        <v>120.10643924204943</v>
      </c>
      <c r="M21" s="194">
        <f t="shared" si="2"/>
        <v>116.66116381954851</v>
      </c>
      <c r="N21" s="194">
        <f t="shared" si="2"/>
        <v>143.29480179849656</v>
      </c>
      <c r="O21" s="194">
        <f t="shared" si="2"/>
        <v>143.37957441347672</v>
      </c>
      <c r="P21" s="194">
        <f t="shared" si="2"/>
        <v>245.98535057366706</v>
      </c>
      <c r="Q21" s="194">
        <f t="shared" si="2"/>
        <v>183.36113480351045</v>
      </c>
      <c r="R21" s="194">
        <f t="shared" si="2"/>
        <v>182.92394515465713</v>
      </c>
      <c r="S21" s="194">
        <f t="shared" si="2"/>
        <v>172.6799555483517</v>
      </c>
      <c r="T21" s="194">
        <f t="shared" si="2"/>
        <v>116.59683960915423</v>
      </c>
      <c r="U21" s="194">
        <f t="shared" si="2"/>
        <v>142.70182341749086</v>
      </c>
      <c r="V21" s="194">
        <f t="shared" si="2"/>
        <v>157.51463501900631</v>
      </c>
    </row>
    <row r="22" spans="2:22" ht="15" x14ac:dyDescent="0.2">
      <c r="B22" s="184" t="s">
        <v>316</v>
      </c>
      <c r="C22" s="185" t="s">
        <v>317</v>
      </c>
      <c r="D22" s="188"/>
      <c r="E22" s="187"/>
      <c r="F22" s="187"/>
      <c r="G22" s="187"/>
      <c r="H22" s="187"/>
      <c r="I22" s="187"/>
      <c r="J22" s="187"/>
      <c r="K22" s="187"/>
      <c r="L22" s="187"/>
      <c r="M22" s="187"/>
      <c r="N22" s="187"/>
      <c r="O22" s="187"/>
      <c r="P22" s="187"/>
      <c r="Q22" s="187"/>
      <c r="R22" s="187"/>
      <c r="S22" s="187"/>
      <c r="T22" s="187"/>
      <c r="U22" s="187"/>
      <c r="V22" s="187"/>
    </row>
    <row r="23" spans="2:22" x14ac:dyDescent="0.2">
      <c r="B23" s="188">
        <f>B21+1</f>
        <v>12</v>
      </c>
      <c r="C23" s="187" t="s">
        <v>318</v>
      </c>
      <c r="D23" s="188"/>
      <c r="E23" s="187"/>
      <c r="F23" s="187"/>
      <c r="G23" s="187"/>
      <c r="H23" s="187"/>
      <c r="I23" s="187"/>
      <c r="J23" s="187"/>
      <c r="K23" s="187"/>
      <c r="L23" s="187"/>
      <c r="M23" s="187"/>
      <c r="N23" s="187"/>
      <c r="O23" s="187"/>
      <c r="P23" s="187"/>
      <c r="Q23" s="187"/>
      <c r="R23" s="187"/>
      <c r="S23" s="187"/>
      <c r="T23" s="187"/>
      <c r="U23" s="187"/>
      <c r="V23" s="187"/>
    </row>
    <row r="24" spans="2:22" x14ac:dyDescent="0.2">
      <c r="B24" s="188"/>
      <c r="C24" s="187" t="s">
        <v>319</v>
      </c>
      <c r="D24" s="190" t="s">
        <v>433</v>
      </c>
      <c r="E24" s="191"/>
      <c r="F24" s="191"/>
      <c r="G24" s="191"/>
      <c r="H24" s="191"/>
      <c r="I24" s="191"/>
      <c r="J24" s="191"/>
      <c r="K24" s="191"/>
      <c r="L24" s="191"/>
      <c r="M24" s="191"/>
      <c r="N24" s="191"/>
      <c r="O24" s="191"/>
      <c r="P24" s="191"/>
      <c r="Q24" s="191"/>
      <c r="R24" s="191"/>
      <c r="S24" s="191"/>
      <c r="T24" s="191"/>
      <c r="U24" s="191"/>
      <c r="V24" s="191"/>
    </row>
    <row r="25" spans="2:22" x14ac:dyDescent="0.2">
      <c r="B25" s="188"/>
      <c r="C25" s="187" t="s">
        <v>320</v>
      </c>
      <c r="D25" s="190" t="s">
        <v>433</v>
      </c>
      <c r="E25" s="187">
        <v>5.7897599364150105</v>
      </c>
      <c r="F25" s="187">
        <v>5.8150995712000135</v>
      </c>
      <c r="G25" s="187">
        <v>5.2364149493999887</v>
      </c>
      <c r="H25" s="187">
        <v>4.1234707284225038</v>
      </c>
      <c r="I25" s="187">
        <v>4.1253382556899885</v>
      </c>
      <c r="J25" s="187">
        <v>3.1182189898499995</v>
      </c>
      <c r="K25" s="187">
        <v>6.1432852124400048</v>
      </c>
      <c r="L25" s="187">
        <v>3.294510065899996</v>
      </c>
      <c r="M25" s="187">
        <v>2.6706614753299838</v>
      </c>
      <c r="N25" s="187">
        <v>3.4679141735799841</v>
      </c>
      <c r="O25" s="187">
        <v>3.5060462960999987</v>
      </c>
      <c r="P25" s="187">
        <v>5.8389630150599521</v>
      </c>
      <c r="Q25" s="187">
        <v>4.4189906664599814</v>
      </c>
      <c r="R25" s="187">
        <v>4.4494391401999991</v>
      </c>
      <c r="S25" s="187">
        <v>3.9463542189399918</v>
      </c>
      <c r="T25" s="187">
        <v>3.3720509123299904</v>
      </c>
      <c r="U25" s="187">
        <v>3.8419159287800064</v>
      </c>
      <c r="V25" s="187">
        <v>5.0260716199500095</v>
      </c>
    </row>
    <row r="26" spans="2:22" x14ac:dyDescent="0.2">
      <c r="B26" s="188"/>
      <c r="C26" s="187" t="s">
        <v>321</v>
      </c>
      <c r="D26" s="190" t="s">
        <v>433</v>
      </c>
      <c r="E26" s="187"/>
      <c r="F26" s="187"/>
      <c r="G26" s="187"/>
      <c r="H26" s="187"/>
      <c r="I26" s="187"/>
      <c r="J26" s="187"/>
      <c r="K26" s="187"/>
      <c r="L26" s="187"/>
      <c r="M26" s="187"/>
      <c r="N26" s="187"/>
      <c r="O26" s="187"/>
      <c r="P26" s="187"/>
      <c r="Q26" s="187"/>
      <c r="R26" s="187"/>
      <c r="S26" s="187"/>
      <c r="T26" s="187"/>
      <c r="U26" s="187"/>
      <c r="V26" s="187"/>
    </row>
    <row r="27" spans="2:22" x14ac:dyDescent="0.2">
      <c r="B27" s="188"/>
      <c r="C27" s="187" t="s">
        <v>9</v>
      </c>
      <c r="D27" s="190" t="s">
        <v>433</v>
      </c>
      <c r="E27" s="187"/>
      <c r="F27" s="187"/>
      <c r="G27" s="187"/>
      <c r="H27" s="187"/>
      <c r="I27" s="187"/>
      <c r="J27" s="187"/>
      <c r="K27" s="187"/>
      <c r="L27" s="187"/>
      <c r="M27" s="187"/>
      <c r="N27" s="187"/>
      <c r="O27" s="187"/>
      <c r="P27" s="187"/>
      <c r="Q27" s="187"/>
      <c r="R27" s="187"/>
      <c r="S27" s="187"/>
      <c r="T27" s="187"/>
      <c r="U27" s="187"/>
      <c r="V27" s="187"/>
    </row>
    <row r="28" spans="2:22" x14ac:dyDescent="0.2">
      <c r="B28" s="188">
        <f>B23+1</f>
        <v>13</v>
      </c>
      <c r="C28" s="187" t="s">
        <v>322</v>
      </c>
      <c r="D28" s="190" t="s">
        <v>433</v>
      </c>
      <c r="E28" s="187"/>
      <c r="F28" s="187"/>
      <c r="G28" s="187"/>
      <c r="H28" s="187"/>
      <c r="I28" s="187"/>
      <c r="J28" s="187"/>
      <c r="K28" s="187"/>
      <c r="L28" s="187"/>
      <c r="M28" s="187"/>
      <c r="N28" s="187"/>
      <c r="O28" s="187"/>
      <c r="P28" s="187"/>
      <c r="Q28" s="187"/>
      <c r="R28" s="187"/>
      <c r="S28" s="187"/>
      <c r="T28" s="187"/>
      <c r="U28" s="187"/>
      <c r="V28" s="187"/>
    </row>
    <row r="29" spans="2:22" x14ac:dyDescent="0.2">
      <c r="B29" s="188">
        <f>B28+1</f>
        <v>14</v>
      </c>
      <c r="C29" s="187" t="s">
        <v>323</v>
      </c>
      <c r="D29" s="190" t="s">
        <v>433</v>
      </c>
      <c r="E29" s="187"/>
      <c r="F29" s="187"/>
      <c r="G29" s="187"/>
      <c r="H29" s="187"/>
      <c r="I29" s="187"/>
      <c r="J29" s="187"/>
      <c r="K29" s="187"/>
      <c r="L29" s="187"/>
      <c r="M29" s="187"/>
      <c r="N29" s="187"/>
      <c r="O29" s="187"/>
      <c r="P29" s="187"/>
      <c r="Q29" s="187"/>
      <c r="R29" s="187"/>
      <c r="S29" s="187"/>
      <c r="T29" s="187"/>
      <c r="U29" s="187"/>
      <c r="V29" s="187"/>
    </row>
    <row r="30" spans="2:22" ht="28.5" x14ac:dyDescent="0.2">
      <c r="B30" s="188">
        <f>B29+1</f>
        <v>15</v>
      </c>
      <c r="C30" s="195" t="s">
        <v>392</v>
      </c>
      <c r="D30" s="190" t="s">
        <v>433</v>
      </c>
      <c r="E30" s="187"/>
      <c r="F30" s="187"/>
      <c r="G30" s="187"/>
      <c r="H30" s="187"/>
      <c r="I30" s="187"/>
      <c r="J30" s="187"/>
      <c r="K30" s="187"/>
      <c r="L30" s="187"/>
      <c r="M30" s="187"/>
      <c r="N30" s="187"/>
      <c r="O30" s="187"/>
      <c r="P30" s="187"/>
      <c r="Q30" s="187"/>
      <c r="R30" s="187"/>
      <c r="S30" s="187"/>
      <c r="T30" s="187"/>
      <c r="U30" s="187"/>
      <c r="V30" s="187"/>
    </row>
    <row r="31" spans="2:22" x14ac:dyDescent="0.2">
      <c r="B31" s="188">
        <f>B30+1</f>
        <v>16</v>
      </c>
      <c r="C31" s="195" t="s">
        <v>324</v>
      </c>
      <c r="D31" s="190" t="s">
        <v>433</v>
      </c>
      <c r="E31" s="191">
        <f>SUM(E25:E30)</f>
        <v>5.7897599364150105</v>
      </c>
      <c r="F31" s="191">
        <f t="shared" ref="F31:V31" si="3">SUM(F25:F30)</f>
        <v>5.8150995712000135</v>
      </c>
      <c r="G31" s="191">
        <f t="shared" si="3"/>
        <v>5.2364149493999887</v>
      </c>
      <c r="H31" s="191">
        <f t="shared" si="3"/>
        <v>4.1234707284225038</v>
      </c>
      <c r="I31" s="191">
        <f t="shared" si="3"/>
        <v>4.1253382556899885</v>
      </c>
      <c r="J31" s="191">
        <f t="shared" si="3"/>
        <v>3.1182189898499995</v>
      </c>
      <c r="K31" s="191">
        <f t="shared" si="3"/>
        <v>6.1432852124400048</v>
      </c>
      <c r="L31" s="191">
        <f t="shared" si="3"/>
        <v>3.294510065899996</v>
      </c>
      <c r="M31" s="191">
        <f t="shared" si="3"/>
        <v>2.6706614753299838</v>
      </c>
      <c r="N31" s="191">
        <f t="shared" si="3"/>
        <v>3.4679141735799841</v>
      </c>
      <c r="O31" s="191">
        <f t="shared" si="3"/>
        <v>3.5060462960999987</v>
      </c>
      <c r="P31" s="191">
        <f t="shared" si="3"/>
        <v>5.8389630150599521</v>
      </c>
      <c r="Q31" s="191">
        <f t="shared" si="3"/>
        <v>4.4189906664599814</v>
      </c>
      <c r="R31" s="191">
        <f t="shared" si="3"/>
        <v>4.4494391401999991</v>
      </c>
      <c r="S31" s="191">
        <f t="shared" si="3"/>
        <v>3.9463542189399918</v>
      </c>
      <c r="T31" s="191">
        <f t="shared" si="3"/>
        <v>3.3720509123299904</v>
      </c>
      <c r="U31" s="191">
        <f t="shared" si="3"/>
        <v>3.8419159287800064</v>
      </c>
      <c r="V31" s="191">
        <f t="shared" si="3"/>
        <v>5.0260716199500095</v>
      </c>
    </row>
    <row r="32" spans="2:22" ht="28.5" x14ac:dyDescent="0.2">
      <c r="B32" s="188">
        <f>B31+1</f>
        <v>17</v>
      </c>
      <c r="C32" s="195" t="s">
        <v>325</v>
      </c>
      <c r="D32" s="190" t="s">
        <v>433</v>
      </c>
      <c r="E32" s="194">
        <f>E21+E31</f>
        <v>203.99680666222886</v>
      </c>
      <c r="F32" s="194">
        <f t="shared" ref="F32:V32" si="4">F21+F31</f>
        <v>212.0368512502186</v>
      </c>
      <c r="G32" s="194">
        <f t="shared" si="4"/>
        <v>182.13322026605647</v>
      </c>
      <c r="H32" s="194">
        <f t="shared" si="4"/>
        <v>177.18437020442821</v>
      </c>
      <c r="I32" s="194">
        <f t="shared" si="4"/>
        <v>144.21826501064743</v>
      </c>
      <c r="J32" s="194">
        <f t="shared" si="4"/>
        <v>97.443233770870961</v>
      </c>
      <c r="K32" s="194">
        <f t="shared" si="4"/>
        <v>176.02098037285432</v>
      </c>
      <c r="L32" s="194">
        <f t="shared" si="4"/>
        <v>123.40094930794943</v>
      </c>
      <c r="M32" s="194">
        <f t="shared" si="4"/>
        <v>119.33182529487848</v>
      </c>
      <c r="N32" s="194">
        <f t="shared" si="4"/>
        <v>146.76271597207653</v>
      </c>
      <c r="O32" s="194">
        <f t="shared" si="4"/>
        <v>146.88562070957673</v>
      </c>
      <c r="P32" s="194">
        <f t="shared" si="4"/>
        <v>251.82431358872702</v>
      </c>
      <c r="Q32" s="194">
        <f t="shared" si="4"/>
        <v>187.78012546997044</v>
      </c>
      <c r="R32" s="194">
        <f t="shared" si="4"/>
        <v>187.37338429485715</v>
      </c>
      <c r="S32" s="194">
        <f t="shared" si="4"/>
        <v>176.6263097672917</v>
      </c>
      <c r="T32" s="194">
        <f t="shared" si="4"/>
        <v>119.96889052148423</v>
      </c>
      <c r="U32" s="194">
        <f t="shared" si="4"/>
        <v>146.54373934627085</v>
      </c>
      <c r="V32" s="194">
        <f t="shared" si="4"/>
        <v>162.54070663895632</v>
      </c>
    </row>
    <row r="33" spans="2:22" ht="15" x14ac:dyDescent="0.2">
      <c r="B33" s="184" t="s">
        <v>326</v>
      </c>
      <c r="C33" s="185" t="s">
        <v>189</v>
      </c>
      <c r="D33" s="188"/>
      <c r="E33" s="187"/>
      <c r="F33" s="187"/>
      <c r="G33" s="187"/>
      <c r="H33" s="187"/>
      <c r="I33" s="187"/>
      <c r="J33" s="187"/>
      <c r="K33" s="187"/>
      <c r="L33" s="187"/>
      <c r="M33" s="187"/>
      <c r="N33" s="187"/>
      <c r="O33" s="187"/>
      <c r="P33" s="187"/>
      <c r="Q33" s="187"/>
      <c r="R33" s="187"/>
      <c r="S33" s="187"/>
      <c r="T33" s="187"/>
      <c r="U33" s="187"/>
      <c r="V33" s="187"/>
    </row>
    <row r="34" spans="2:22" ht="15" x14ac:dyDescent="0.2">
      <c r="B34" s="188">
        <f>B32+1</f>
        <v>18</v>
      </c>
      <c r="C34" s="195" t="s">
        <v>327</v>
      </c>
      <c r="D34" s="188" t="s">
        <v>328</v>
      </c>
      <c r="E34" s="196">
        <f>IFERROR((E10+E32)/(E9+E16)*10000000,0)</f>
        <v>4647.5272863879072</v>
      </c>
      <c r="F34" s="196">
        <f t="shared" ref="F34:V34" si="5">IFERROR((F10+F32)/(F9+F16)*10000000,0)</f>
        <v>4819.8213128473117</v>
      </c>
      <c r="G34" s="196">
        <f t="shared" si="5"/>
        <v>4695.8391399343136</v>
      </c>
      <c r="H34" s="196">
        <f t="shared" si="5"/>
        <v>5137.6254516603476</v>
      </c>
      <c r="I34" s="196">
        <f t="shared" si="5"/>
        <v>4615.8513150548815</v>
      </c>
      <c r="J34" s="196">
        <f t="shared" si="5"/>
        <v>4302.8011012405022</v>
      </c>
      <c r="K34" s="196">
        <f t="shared" si="5"/>
        <v>3927.9503549376764</v>
      </c>
      <c r="L34" s="196">
        <f>IFERROR((L10+L32)/(L9+L16)*10000000,0)</f>
        <v>4311.2224219327472</v>
      </c>
      <c r="M34" s="196">
        <f t="shared" si="5"/>
        <v>4721.5185832785755</v>
      </c>
      <c r="N34" s="196">
        <f t="shared" si="5"/>
        <v>4889.2213632722996</v>
      </c>
      <c r="O34" s="196">
        <f>IFERROR((O10+O32)/(O9+O16)*10000000,0)</f>
        <v>4863.3427200696287</v>
      </c>
      <c r="P34" s="196">
        <f t="shared" si="5"/>
        <v>5146.1598345156181</v>
      </c>
      <c r="Q34" s="196">
        <f>IFERROR((Q10+Q32)/(Q9+Q16)*10000000,0)</f>
        <v>5195.0561129709231</v>
      </c>
      <c r="R34" s="196">
        <f t="shared" si="5"/>
        <v>5246.1600056955967</v>
      </c>
      <c r="S34" s="196">
        <f>IFERROR((S10+S32)/(S9+S16)*10000000,0)</f>
        <v>5544.1722878735009</v>
      </c>
      <c r="T34" s="196">
        <f t="shared" si="5"/>
        <v>5042.8104725697158</v>
      </c>
      <c r="U34" s="196">
        <f>IFERROR((U10+U32)/(U9+U16)*10000000,0)</f>
        <v>4971.8259703134308</v>
      </c>
      <c r="V34" s="196">
        <f t="shared" si="5"/>
        <v>4632.903018053099</v>
      </c>
    </row>
    <row r="35" spans="2:22" x14ac:dyDescent="0.2">
      <c r="B35" s="188">
        <f>B34+1</f>
        <v>19</v>
      </c>
      <c r="C35" s="195" t="s">
        <v>329</v>
      </c>
      <c r="D35" s="188"/>
      <c r="E35" s="187"/>
      <c r="F35" s="187"/>
      <c r="G35" s="187"/>
      <c r="H35" s="187"/>
      <c r="I35" s="187"/>
      <c r="J35" s="187"/>
      <c r="K35" s="187"/>
      <c r="L35" s="187"/>
      <c r="M35" s="187"/>
      <c r="N35" s="187"/>
      <c r="O35" s="187"/>
      <c r="P35" s="187"/>
      <c r="Q35" s="187"/>
      <c r="R35" s="187"/>
      <c r="S35" s="187"/>
      <c r="T35" s="187"/>
      <c r="U35" s="187"/>
      <c r="V35" s="187"/>
    </row>
    <row r="36" spans="2:22" ht="28.5" x14ac:dyDescent="0.2">
      <c r="B36" s="188">
        <f>B35+1</f>
        <v>20</v>
      </c>
      <c r="C36" s="195" t="s">
        <v>330</v>
      </c>
      <c r="D36" s="188" t="s">
        <v>328</v>
      </c>
      <c r="E36" s="187"/>
      <c r="F36" s="187"/>
      <c r="G36" s="187"/>
      <c r="H36" s="187"/>
      <c r="I36" s="187"/>
      <c r="J36" s="187"/>
      <c r="K36" s="187"/>
      <c r="L36" s="187"/>
      <c r="M36" s="187"/>
      <c r="N36" s="187"/>
      <c r="O36" s="187"/>
      <c r="P36" s="187"/>
      <c r="Q36" s="187"/>
      <c r="R36" s="187"/>
      <c r="S36" s="187"/>
      <c r="T36" s="187"/>
      <c r="U36" s="187"/>
      <c r="V36" s="187"/>
    </row>
    <row r="37" spans="2:22" ht="15" x14ac:dyDescent="0.2">
      <c r="B37" s="184" t="s">
        <v>331</v>
      </c>
      <c r="C37" s="185" t="s">
        <v>332</v>
      </c>
      <c r="D37" s="188"/>
      <c r="E37" s="187"/>
      <c r="F37" s="187"/>
      <c r="G37" s="187"/>
      <c r="H37" s="187"/>
      <c r="I37" s="187"/>
      <c r="J37" s="187"/>
      <c r="K37" s="187"/>
      <c r="L37" s="187"/>
      <c r="M37" s="187"/>
      <c r="N37" s="187"/>
      <c r="O37" s="187"/>
      <c r="P37" s="187"/>
      <c r="Q37" s="187"/>
      <c r="R37" s="187"/>
      <c r="S37" s="187"/>
      <c r="T37" s="187"/>
      <c r="U37" s="187"/>
      <c r="V37" s="187"/>
    </row>
    <row r="38" spans="2:22" ht="28.5" x14ac:dyDescent="0.2">
      <c r="B38" s="188">
        <f>B36+1</f>
        <v>21</v>
      </c>
      <c r="C38" s="195" t="s">
        <v>391</v>
      </c>
      <c r="D38" s="188" t="s">
        <v>333</v>
      </c>
      <c r="E38" s="187"/>
      <c r="F38" s="187"/>
      <c r="G38" s="187"/>
      <c r="H38" s="187"/>
      <c r="I38" s="187"/>
      <c r="J38" s="187"/>
      <c r="K38" s="187"/>
      <c r="L38" s="187"/>
      <c r="M38" s="187"/>
      <c r="N38" s="187"/>
      <c r="O38" s="187"/>
      <c r="P38" s="187"/>
      <c r="Q38" s="187"/>
      <c r="R38" s="187"/>
      <c r="S38" s="187"/>
      <c r="T38" s="187"/>
      <c r="U38" s="187"/>
      <c r="V38" s="187"/>
    </row>
    <row r="39" spans="2:22" ht="28.5" x14ac:dyDescent="0.2">
      <c r="B39" s="188">
        <f>B38+1</f>
        <v>22</v>
      </c>
      <c r="C39" s="195" t="s">
        <v>334</v>
      </c>
      <c r="D39" s="188" t="s">
        <v>333</v>
      </c>
      <c r="E39" s="187"/>
      <c r="F39" s="187"/>
      <c r="G39" s="187"/>
      <c r="H39" s="187"/>
      <c r="I39" s="187"/>
      <c r="J39" s="187"/>
      <c r="K39" s="187"/>
      <c r="L39" s="187"/>
      <c r="M39" s="187"/>
      <c r="N39" s="187"/>
      <c r="O39" s="187"/>
      <c r="P39" s="187"/>
      <c r="Q39" s="187"/>
      <c r="R39" s="187"/>
      <c r="S39" s="187"/>
      <c r="T39" s="187"/>
      <c r="U39" s="187"/>
      <c r="V39" s="187"/>
    </row>
    <row r="40" spans="2:22" ht="28.5" x14ac:dyDescent="0.2">
      <c r="B40" s="188">
        <f t="shared" ref="B40:B47" si="6">B39+1</f>
        <v>23</v>
      </c>
      <c r="C40" s="195" t="s">
        <v>390</v>
      </c>
      <c r="D40" s="188" t="s">
        <v>333</v>
      </c>
      <c r="E40" s="187"/>
      <c r="F40" s="187"/>
      <c r="G40" s="187"/>
      <c r="H40" s="187"/>
      <c r="I40" s="187"/>
      <c r="J40" s="187"/>
      <c r="K40" s="187"/>
      <c r="L40" s="187"/>
      <c r="M40" s="187"/>
      <c r="N40" s="187"/>
      <c r="O40" s="187"/>
      <c r="P40" s="187"/>
      <c r="Q40" s="187"/>
      <c r="R40" s="187"/>
      <c r="S40" s="187"/>
      <c r="T40" s="187"/>
      <c r="U40" s="187"/>
      <c r="V40" s="187"/>
    </row>
    <row r="41" spans="2:22" x14ac:dyDescent="0.2">
      <c r="B41" s="188">
        <f t="shared" si="6"/>
        <v>24</v>
      </c>
      <c r="C41" s="195" t="s">
        <v>335</v>
      </c>
      <c r="D41" s="188" t="s">
        <v>333</v>
      </c>
      <c r="E41" s="187"/>
      <c r="F41" s="187"/>
      <c r="G41" s="187"/>
      <c r="H41" s="187"/>
      <c r="I41" s="187"/>
      <c r="J41" s="187"/>
      <c r="K41" s="187"/>
      <c r="L41" s="187"/>
      <c r="M41" s="187"/>
      <c r="N41" s="187"/>
      <c r="O41" s="187"/>
      <c r="P41" s="187"/>
      <c r="Q41" s="187"/>
      <c r="R41" s="187"/>
      <c r="S41" s="187"/>
      <c r="T41" s="187"/>
      <c r="U41" s="187"/>
      <c r="V41" s="187"/>
    </row>
    <row r="42" spans="2:22" x14ac:dyDescent="0.2">
      <c r="B42" s="188">
        <f t="shared" si="6"/>
        <v>25</v>
      </c>
      <c r="C42" s="195" t="s">
        <v>336</v>
      </c>
      <c r="D42" s="188" t="s">
        <v>333</v>
      </c>
      <c r="E42" s="197">
        <v>3686</v>
      </c>
      <c r="F42" s="197">
        <v>3664</v>
      </c>
      <c r="G42" s="197">
        <v>3607</v>
      </c>
      <c r="H42" s="197">
        <v>3862</v>
      </c>
      <c r="I42" s="197">
        <v>3113</v>
      </c>
      <c r="J42" s="197">
        <v>2978</v>
      </c>
      <c r="K42" s="197">
        <v>3015</v>
      </c>
      <c r="L42" s="197">
        <v>3532</v>
      </c>
      <c r="M42" s="197">
        <v>4027</v>
      </c>
      <c r="N42" s="197">
        <v>3593</v>
      </c>
      <c r="O42" s="197">
        <v>3462</v>
      </c>
      <c r="P42" s="197">
        <v>4008</v>
      </c>
      <c r="Q42" s="198">
        <v>3859</v>
      </c>
      <c r="R42" s="198">
        <v>3828</v>
      </c>
      <c r="S42" s="198">
        <v>4163</v>
      </c>
      <c r="T42" s="198">
        <v>3498</v>
      </c>
      <c r="U42" s="198">
        <v>3735</v>
      </c>
      <c r="V42" s="198">
        <v>3781</v>
      </c>
    </row>
    <row r="43" spans="2:22" ht="28.5" x14ac:dyDescent="0.2">
      <c r="B43" s="188">
        <f t="shared" si="6"/>
        <v>26</v>
      </c>
      <c r="C43" s="195" t="s">
        <v>389</v>
      </c>
      <c r="D43" s="188" t="s">
        <v>333</v>
      </c>
      <c r="E43" s="199">
        <v>3627</v>
      </c>
      <c r="F43" s="199">
        <v>3733.0115139667337</v>
      </c>
      <c r="G43" s="199">
        <v>3840.1468965974909</v>
      </c>
      <c r="H43" s="199">
        <v>3756.3515011983154</v>
      </c>
      <c r="I43" s="199">
        <v>3713.5205141315037</v>
      </c>
      <c r="J43" s="199">
        <v>3717.5588866213216</v>
      </c>
      <c r="K43" s="199">
        <v>3398.1426771339093</v>
      </c>
      <c r="L43" s="199">
        <v>3419.8658165277047</v>
      </c>
      <c r="M43" s="199">
        <v>3513.2987646129095</v>
      </c>
      <c r="N43" s="199">
        <v>3542.4367442708444</v>
      </c>
      <c r="O43" s="199">
        <v>3520.9518180539317</v>
      </c>
      <c r="P43" s="199">
        <v>3739.1224771487223</v>
      </c>
      <c r="Q43" s="187"/>
      <c r="R43" s="187"/>
      <c r="S43" s="187"/>
      <c r="T43" s="187"/>
      <c r="U43" s="187"/>
      <c r="V43" s="187"/>
    </row>
    <row r="44" spans="2:22" x14ac:dyDescent="0.2">
      <c r="B44" s="188">
        <f t="shared" si="6"/>
        <v>27</v>
      </c>
      <c r="C44" s="195" t="s">
        <v>337</v>
      </c>
      <c r="D44" s="188" t="s">
        <v>333</v>
      </c>
      <c r="E44" s="199">
        <v>3425</v>
      </c>
      <c r="F44" s="199">
        <v>3402</v>
      </c>
      <c r="G44" s="199">
        <v>3397</v>
      </c>
      <c r="H44" s="199">
        <v>3238</v>
      </c>
      <c r="I44" s="199">
        <v>2896</v>
      </c>
      <c r="J44" s="199">
        <v>2699</v>
      </c>
      <c r="K44" s="199">
        <v>2763</v>
      </c>
      <c r="L44" s="199">
        <v>3258</v>
      </c>
      <c r="M44" s="199">
        <v>3618</v>
      </c>
      <c r="N44" s="199">
        <v>3252</v>
      </c>
      <c r="O44" s="199">
        <v>3256</v>
      </c>
      <c r="P44" s="199">
        <v>3700</v>
      </c>
      <c r="Q44" s="187"/>
      <c r="R44" s="187"/>
      <c r="S44" s="187"/>
      <c r="T44" s="187"/>
      <c r="U44" s="187"/>
      <c r="V44" s="187"/>
    </row>
    <row r="45" spans="2:22" ht="28.5" x14ac:dyDescent="0.2">
      <c r="B45" s="188">
        <f t="shared" si="6"/>
        <v>28</v>
      </c>
      <c r="C45" s="195" t="s">
        <v>338</v>
      </c>
      <c r="D45" s="188" t="s">
        <v>333</v>
      </c>
      <c r="E45" s="199"/>
      <c r="F45" s="199"/>
      <c r="G45" s="199"/>
      <c r="H45" s="199"/>
      <c r="I45" s="199"/>
      <c r="J45" s="199"/>
      <c r="K45" s="199"/>
      <c r="L45" s="199"/>
      <c r="M45" s="199"/>
      <c r="N45" s="199"/>
      <c r="O45" s="199"/>
      <c r="P45" s="199"/>
      <c r="Q45" s="187"/>
      <c r="R45" s="187"/>
      <c r="S45" s="187"/>
      <c r="T45" s="187"/>
      <c r="U45" s="187"/>
      <c r="V45" s="187"/>
    </row>
    <row r="46" spans="2:22" ht="28.5" x14ac:dyDescent="0.2">
      <c r="B46" s="188">
        <f t="shared" si="6"/>
        <v>29</v>
      </c>
      <c r="C46" s="195" t="s">
        <v>338</v>
      </c>
      <c r="D46" s="188" t="s">
        <v>333</v>
      </c>
      <c r="E46" s="199"/>
      <c r="F46" s="199"/>
      <c r="G46" s="199"/>
      <c r="H46" s="199"/>
      <c r="I46" s="199"/>
      <c r="J46" s="199"/>
      <c r="K46" s="199"/>
      <c r="L46" s="199"/>
      <c r="M46" s="199"/>
      <c r="N46" s="199"/>
      <c r="O46" s="199"/>
      <c r="P46" s="199"/>
      <c r="Q46" s="187"/>
      <c r="R46" s="187"/>
      <c r="S46" s="187"/>
      <c r="T46" s="187"/>
      <c r="U46" s="187"/>
      <c r="V46" s="187"/>
    </row>
    <row r="47" spans="2:22" x14ac:dyDescent="0.2">
      <c r="B47" s="188">
        <f t="shared" si="6"/>
        <v>30</v>
      </c>
      <c r="C47" s="195" t="s">
        <v>339</v>
      </c>
      <c r="D47" s="188" t="s">
        <v>333</v>
      </c>
      <c r="E47" s="197">
        <v>3391.5484210173822</v>
      </c>
      <c r="F47" s="197">
        <v>3399.0628851516453</v>
      </c>
      <c r="G47" s="197">
        <v>3397.5783928421688</v>
      </c>
      <c r="H47" s="197">
        <v>3281.6144264731706</v>
      </c>
      <c r="I47" s="197">
        <v>3008.2263725945827</v>
      </c>
      <c r="J47" s="197">
        <v>2813.1106074753416</v>
      </c>
      <c r="K47" s="197">
        <v>2770.0957686784632</v>
      </c>
      <c r="L47" s="197">
        <v>3037.0073914043446</v>
      </c>
      <c r="M47" s="197">
        <v>3283.1462348019718</v>
      </c>
      <c r="N47" s="197">
        <v>3265.9222684581509</v>
      </c>
      <c r="O47" s="197">
        <v>3259.8252058024364</v>
      </c>
      <c r="P47" s="197">
        <v>3574.46774584997</v>
      </c>
      <c r="Q47" s="187">
        <v>3667</v>
      </c>
      <c r="R47" s="200">
        <v>3828</v>
      </c>
      <c r="S47" s="187">
        <v>3692</v>
      </c>
      <c r="T47" s="187">
        <v>3109</v>
      </c>
      <c r="U47" s="85">
        <v>3185</v>
      </c>
      <c r="V47" s="200">
        <v>3292</v>
      </c>
    </row>
    <row r="49" spans="2:3" ht="15" x14ac:dyDescent="0.2">
      <c r="B49" s="201" t="s">
        <v>242</v>
      </c>
    </row>
    <row r="50" spans="2:3" x14ac:dyDescent="0.2">
      <c r="B50" s="186">
        <v>1</v>
      </c>
      <c r="C50" s="85" t="s">
        <v>340</v>
      </c>
    </row>
    <row r="51" spans="2:3" x14ac:dyDescent="0.2">
      <c r="B51" s="186">
        <f>B50+1</f>
        <v>2</v>
      </c>
      <c r="C51" s="85" t="s">
        <v>341</v>
      </c>
    </row>
    <row r="52" spans="2:3" x14ac:dyDescent="0.2">
      <c r="B52" s="186">
        <f>B51+1</f>
        <v>3</v>
      </c>
      <c r="C52" s="85" t="s">
        <v>342</v>
      </c>
    </row>
    <row r="53" spans="2:3" x14ac:dyDescent="0.2">
      <c r="B53" s="186">
        <f>B52+1</f>
        <v>4</v>
      </c>
      <c r="C53" s="85" t="s">
        <v>343</v>
      </c>
    </row>
  </sheetData>
  <mergeCells count="8">
    <mergeCell ref="B4:V4"/>
    <mergeCell ref="B2:V2"/>
    <mergeCell ref="E6:P6"/>
    <mergeCell ref="Q6:V6"/>
    <mergeCell ref="B6:B7"/>
    <mergeCell ref="C6:C7"/>
    <mergeCell ref="D6:D7"/>
    <mergeCell ref="B3:V3"/>
  </mergeCells>
  <phoneticPr fontId="14" type="noConversion"/>
  <pageMargins left="0.2" right="0.2" top="0.25" bottom="0.25" header="0.3" footer="0.3"/>
  <pageSetup paperSize="9" scale="5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N53"/>
  <sheetViews>
    <sheetView view="pageBreakPreview" zoomScale="79" zoomScaleSheetLayoutView="79" workbookViewId="0">
      <selection activeCell="H25" sqref="H25"/>
    </sheetView>
  </sheetViews>
  <sheetFormatPr defaultRowHeight="12.75" x14ac:dyDescent="0.2"/>
  <cols>
    <col min="1" max="1" width="4.42578125" customWidth="1"/>
    <col min="2" max="2" width="8.85546875" customWidth="1"/>
    <col min="3" max="3" width="65.28515625" customWidth="1"/>
    <col min="5" max="5" width="11.7109375" customWidth="1"/>
  </cols>
  <sheetData>
    <row r="2" spans="2:40" ht="16.5" x14ac:dyDescent="0.2">
      <c r="B2" s="311" t="s">
        <v>430</v>
      </c>
      <c r="C2" s="311"/>
      <c r="D2" s="311"/>
      <c r="E2" s="311"/>
      <c r="F2" s="311"/>
      <c r="G2" s="311"/>
      <c r="H2" s="311"/>
      <c r="I2" s="311"/>
      <c r="J2" s="311"/>
      <c r="K2" s="311"/>
      <c r="L2" s="311"/>
      <c r="M2" s="311"/>
      <c r="N2" s="311"/>
      <c r="O2" s="311"/>
      <c r="P2" s="311"/>
      <c r="Q2" s="311"/>
      <c r="R2" s="311"/>
      <c r="S2" s="311"/>
      <c r="T2" s="311"/>
      <c r="U2" s="311"/>
      <c r="V2" s="311"/>
    </row>
    <row r="3" spans="2:40" ht="15" x14ac:dyDescent="0.2">
      <c r="B3" s="279" t="s">
        <v>468</v>
      </c>
      <c r="C3" s="279"/>
      <c r="D3" s="279"/>
      <c r="E3" s="279"/>
      <c r="F3" s="279"/>
      <c r="G3" s="279"/>
      <c r="H3" s="279"/>
      <c r="I3" s="279"/>
      <c r="J3" s="279"/>
      <c r="K3" s="279"/>
      <c r="L3" s="279"/>
      <c r="M3" s="279"/>
      <c r="N3" s="279"/>
      <c r="O3" s="279"/>
      <c r="P3" s="279"/>
      <c r="Q3" s="279"/>
      <c r="R3" s="279"/>
      <c r="S3" s="279"/>
      <c r="T3" s="279"/>
      <c r="U3" s="279"/>
      <c r="V3" s="279"/>
    </row>
    <row r="4" spans="2:40" ht="16.5" x14ac:dyDescent="0.2">
      <c r="B4" s="312" t="s">
        <v>493</v>
      </c>
      <c r="C4" s="312"/>
      <c r="D4" s="312"/>
      <c r="E4" s="312"/>
      <c r="F4" s="312"/>
      <c r="G4" s="312"/>
      <c r="H4" s="312"/>
      <c r="I4" s="312"/>
      <c r="J4" s="312"/>
      <c r="K4" s="312"/>
      <c r="L4" s="312"/>
      <c r="M4" s="312"/>
      <c r="N4" s="312"/>
      <c r="O4" s="312"/>
      <c r="P4" s="312"/>
      <c r="Q4" s="312"/>
      <c r="R4" s="312"/>
      <c r="S4" s="312"/>
      <c r="T4" s="312"/>
      <c r="U4" s="312"/>
      <c r="V4" s="312"/>
    </row>
    <row r="6" spans="2:40" ht="15" x14ac:dyDescent="0.2">
      <c r="B6" s="310" t="s">
        <v>193</v>
      </c>
      <c r="C6" s="310" t="s">
        <v>18</v>
      </c>
      <c r="D6" s="310" t="s">
        <v>39</v>
      </c>
      <c r="E6" s="313">
        <v>45383</v>
      </c>
      <c r="F6" s="313"/>
      <c r="G6" s="313">
        <v>45413</v>
      </c>
      <c r="H6" s="313"/>
      <c r="I6" s="313">
        <v>45444</v>
      </c>
      <c r="J6" s="313"/>
      <c r="K6" s="313">
        <v>45474</v>
      </c>
      <c r="L6" s="313"/>
      <c r="M6" s="313">
        <v>45505</v>
      </c>
      <c r="N6" s="313"/>
      <c r="O6" s="313">
        <v>45536</v>
      </c>
      <c r="P6" s="313"/>
      <c r="Q6" s="313">
        <v>45566</v>
      </c>
      <c r="R6" s="313"/>
      <c r="S6" s="313">
        <v>45597</v>
      </c>
      <c r="T6" s="313"/>
      <c r="U6" s="313">
        <v>45627</v>
      </c>
      <c r="V6" s="313"/>
      <c r="W6" s="313">
        <v>45658</v>
      </c>
      <c r="X6" s="313"/>
      <c r="Y6" s="313">
        <v>45689</v>
      </c>
      <c r="Z6" s="313"/>
      <c r="AA6" s="313">
        <v>45717</v>
      </c>
      <c r="AB6" s="313"/>
      <c r="AC6" s="313">
        <v>45748</v>
      </c>
      <c r="AD6" s="313"/>
      <c r="AE6" s="313">
        <v>45778</v>
      </c>
      <c r="AF6" s="313"/>
      <c r="AG6" s="313">
        <v>45809</v>
      </c>
      <c r="AH6" s="313"/>
      <c r="AI6" s="313">
        <v>45839</v>
      </c>
      <c r="AJ6" s="313"/>
      <c r="AK6" s="313">
        <v>45870</v>
      </c>
      <c r="AL6" s="313"/>
      <c r="AM6" s="313">
        <v>45901</v>
      </c>
      <c r="AN6" s="313"/>
    </row>
    <row r="7" spans="2:40" ht="15" x14ac:dyDescent="0.2">
      <c r="B7" s="310"/>
      <c r="C7" s="310"/>
      <c r="D7" s="310"/>
      <c r="E7" s="184" t="s">
        <v>480</v>
      </c>
      <c r="F7" s="184" t="s">
        <v>481</v>
      </c>
      <c r="G7" s="184" t="s">
        <v>480</v>
      </c>
      <c r="H7" s="184" t="s">
        <v>481</v>
      </c>
      <c r="I7" s="184" t="s">
        <v>480</v>
      </c>
      <c r="J7" s="184" t="s">
        <v>481</v>
      </c>
      <c r="K7" s="184" t="s">
        <v>480</v>
      </c>
      <c r="L7" s="184" t="s">
        <v>481</v>
      </c>
      <c r="M7" s="184" t="s">
        <v>480</v>
      </c>
      <c r="N7" s="184" t="s">
        <v>481</v>
      </c>
      <c r="O7" s="184" t="s">
        <v>480</v>
      </c>
      <c r="P7" s="184" t="s">
        <v>481</v>
      </c>
      <c r="Q7" s="184" t="s">
        <v>480</v>
      </c>
      <c r="R7" s="184" t="s">
        <v>481</v>
      </c>
      <c r="S7" s="184" t="s">
        <v>480</v>
      </c>
      <c r="T7" s="184" t="s">
        <v>481</v>
      </c>
      <c r="U7" s="184" t="s">
        <v>480</v>
      </c>
      <c r="V7" s="184" t="s">
        <v>481</v>
      </c>
      <c r="W7" s="184" t="s">
        <v>480</v>
      </c>
      <c r="X7" s="184" t="s">
        <v>481</v>
      </c>
      <c r="Y7" s="184" t="s">
        <v>480</v>
      </c>
      <c r="Z7" s="184" t="s">
        <v>481</v>
      </c>
      <c r="AA7" s="184" t="s">
        <v>480</v>
      </c>
      <c r="AB7" s="184" t="s">
        <v>481</v>
      </c>
      <c r="AC7" s="184" t="s">
        <v>480</v>
      </c>
      <c r="AD7" s="184" t="s">
        <v>481</v>
      </c>
      <c r="AE7" s="184" t="s">
        <v>480</v>
      </c>
      <c r="AF7" s="184" t="s">
        <v>481</v>
      </c>
      <c r="AG7" s="184" t="s">
        <v>480</v>
      </c>
      <c r="AH7" s="184" t="s">
        <v>481</v>
      </c>
      <c r="AI7" s="184" t="s">
        <v>480</v>
      </c>
      <c r="AJ7" s="184" t="s">
        <v>481</v>
      </c>
      <c r="AK7" s="184" t="s">
        <v>480</v>
      </c>
      <c r="AL7" s="184" t="s">
        <v>481</v>
      </c>
      <c r="AM7" s="184" t="s">
        <v>480</v>
      </c>
      <c r="AN7" s="184" t="s">
        <v>481</v>
      </c>
    </row>
    <row r="8" spans="2:40" ht="15" x14ac:dyDescent="0.2">
      <c r="B8" s="184" t="s">
        <v>67</v>
      </c>
      <c r="C8" s="185" t="s">
        <v>302</v>
      </c>
      <c r="D8" s="188"/>
      <c r="E8" s="187"/>
      <c r="F8" s="187"/>
      <c r="G8" s="187"/>
      <c r="H8" s="187"/>
      <c r="I8" s="187"/>
      <c r="J8" s="187"/>
      <c r="K8" s="187"/>
      <c r="L8" s="187"/>
      <c r="M8" s="187"/>
      <c r="N8" s="187"/>
      <c r="O8" s="187"/>
      <c r="P8" s="187"/>
      <c r="Q8" s="187"/>
      <c r="R8" s="187"/>
      <c r="S8" s="187"/>
      <c r="T8" s="187"/>
      <c r="U8" s="187"/>
      <c r="V8" s="187"/>
      <c r="W8" s="202"/>
      <c r="X8" s="202"/>
      <c r="Y8" s="202"/>
      <c r="Z8" s="202"/>
      <c r="AA8" s="202"/>
      <c r="AB8" s="202"/>
      <c r="AC8" s="202"/>
      <c r="AD8" s="202"/>
      <c r="AE8" s="202"/>
      <c r="AF8" s="202"/>
      <c r="AG8" s="202"/>
      <c r="AH8" s="202"/>
      <c r="AI8" s="202"/>
      <c r="AJ8" s="202"/>
      <c r="AK8" s="202"/>
      <c r="AL8" s="202"/>
      <c r="AM8" s="202"/>
      <c r="AN8" s="202"/>
    </row>
    <row r="9" spans="2:40" ht="14.25" x14ac:dyDescent="0.2">
      <c r="B9" s="188">
        <v>1</v>
      </c>
      <c r="C9" s="187" t="s">
        <v>431</v>
      </c>
      <c r="D9" s="190" t="s">
        <v>432</v>
      </c>
      <c r="E9" s="189">
        <v>3020.81</v>
      </c>
      <c r="F9" s="189">
        <v>524.58999999999992</v>
      </c>
      <c r="G9" s="189">
        <v>2862.81</v>
      </c>
      <c r="H9" s="189">
        <v>480.58999999999992</v>
      </c>
      <c r="I9" s="189">
        <v>2780.81</v>
      </c>
      <c r="J9" s="189">
        <v>449.58999999999992</v>
      </c>
      <c r="K9" s="189">
        <v>2677.81</v>
      </c>
      <c r="L9" s="189">
        <v>396.58999999999992</v>
      </c>
      <c r="M9" s="189">
        <v>2599.81</v>
      </c>
      <c r="N9" s="189">
        <v>376.58999999999992</v>
      </c>
      <c r="O9" s="189">
        <v>2515.81</v>
      </c>
      <c r="P9" s="189">
        <v>406.58999999999992</v>
      </c>
      <c r="Q9" s="189">
        <v>2350.81</v>
      </c>
      <c r="R9" s="189">
        <v>412.55999999999995</v>
      </c>
      <c r="S9" s="189">
        <v>2292.81</v>
      </c>
      <c r="T9" s="189">
        <v>391.55999999999995</v>
      </c>
      <c r="U9" s="189">
        <v>2182.81</v>
      </c>
      <c r="V9" s="189">
        <v>414.55999999999995</v>
      </c>
      <c r="W9" s="200">
        <v>2116.5099999999998</v>
      </c>
      <c r="X9" s="200">
        <v>423.55999999999995</v>
      </c>
      <c r="Y9" s="200">
        <v>2095.5099999999998</v>
      </c>
      <c r="Z9" s="200">
        <v>423.55999999999995</v>
      </c>
      <c r="AA9" s="200">
        <v>2160.87</v>
      </c>
      <c r="AB9" s="200">
        <v>421.55999999999995</v>
      </c>
      <c r="AC9" s="202">
        <v>2237.9499999999998</v>
      </c>
      <c r="AD9" s="202">
        <v>561.55999999999995</v>
      </c>
      <c r="AE9" s="202">
        <v>2040.75</v>
      </c>
      <c r="AF9" s="202">
        <v>543.55999999999995</v>
      </c>
      <c r="AG9" s="202">
        <v>1993.75</v>
      </c>
      <c r="AH9" s="202">
        <v>543.55999999999995</v>
      </c>
      <c r="AI9" s="202">
        <v>2383.41</v>
      </c>
      <c r="AJ9" s="202">
        <v>515.55999999999995</v>
      </c>
      <c r="AK9" s="202">
        <v>2296.7999999999997</v>
      </c>
      <c r="AL9" s="202">
        <v>480.55999999999995</v>
      </c>
      <c r="AM9" s="202">
        <v>2310.7299999999996</v>
      </c>
      <c r="AN9" s="202">
        <v>448.55999999999995</v>
      </c>
    </row>
    <row r="10" spans="2:40" ht="14.25" x14ac:dyDescent="0.2">
      <c r="B10" s="188">
        <v>2</v>
      </c>
      <c r="C10" s="187" t="s">
        <v>304</v>
      </c>
      <c r="D10" s="190" t="s">
        <v>433</v>
      </c>
      <c r="E10" s="191">
        <v>17.517240918282102</v>
      </c>
      <c r="F10" s="191">
        <v>4.7099535380255695</v>
      </c>
      <c r="G10" s="191">
        <v>16.601021736973586</v>
      </c>
      <c r="H10" s="191">
        <v>4.3149060615713388</v>
      </c>
      <c r="I10" s="191">
        <v>16.12551557958562</v>
      </c>
      <c r="J10" s="191">
        <v>4.0365771577058576</v>
      </c>
      <c r="K10" s="191">
        <v>15.528233455061716</v>
      </c>
      <c r="L10" s="191">
        <v>3.560724515613261</v>
      </c>
      <c r="M10" s="191">
        <v>15.075922719985362</v>
      </c>
      <c r="N10" s="191">
        <v>3.3811574808613374</v>
      </c>
      <c r="O10" s="191">
        <v>14.588818851441594</v>
      </c>
      <c r="P10" s="191">
        <v>3.591419011517877</v>
      </c>
      <c r="Q10" s="191">
        <v>13.632007681087767</v>
      </c>
      <c r="R10" s="191">
        <v>3.54032835572194</v>
      </c>
      <c r="S10" s="191">
        <v>13.295674057569451</v>
      </c>
      <c r="T10" s="191">
        <v>3.3601196697849596</v>
      </c>
      <c r="U10" s="191">
        <v>12.657799944000232</v>
      </c>
      <c r="V10" s="191">
        <v>3.4886303363319442</v>
      </c>
      <c r="W10" s="200">
        <v>12.300412521812333</v>
      </c>
      <c r="X10" s="200">
        <v>3.5201794213896118</v>
      </c>
      <c r="Y10" s="200">
        <v>12.178367899789258</v>
      </c>
      <c r="Z10" s="200">
        <v>3.5201794213896109</v>
      </c>
      <c r="AA10" s="200">
        <v>12.712927342333241</v>
      </c>
      <c r="AB10" s="200">
        <v>3.4827504154932947</v>
      </c>
      <c r="AC10" s="202">
        <v>13.232009650307301</v>
      </c>
      <c r="AD10" s="202">
        <v>4.5227587867850199</v>
      </c>
      <c r="AE10" s="202">
        <v>12.05917271809294</v>
      </c>
      <c r="AF10" s="202">
        <v>4.3404709642810868</v>
      </c>
      <c r="AG10" s="202">
        <v>11.781440944112607</v>
      </c>
      <c r="AH10" s="202">
        <v>4.3404709642810877</v>
      </c>
      <c r="AI10" s="202">
        <v>14.135511812950108</v>
      </c>
      <c r="AJ10" s="202">
        <v>4.1168835277517806</v>
      </c>
      <c r="AK10" s="202">
        <v>13.63906341845172</v>
      </c>
      <c r="AL10" s="202">
        <v>3.8373992320901453</v>
      </c>
      <c r="AM10" s="202">
        <v>13.736552669352792</v>
      </c>
      <c r="AN10" s="202">
        <v>3.5818707331995085</v>
      </c>
    </row>
    <row r="11" spans="2:40" ht="15" x14ac:dyDescent="0.2">
      <c r="B11" s="184" t="s">
        <v>71</v>
      </c>
      <c r="C11" s="185" t="s">
        <v>306</v>
      </c>
      <c r="D11" s="190"/>
      <c r="E11" s="192"/>
      <c r="F11" s="192"/>
      <c r="G11" s="192"/>
      <c r="H11" s="192"/>
      <c r="I11" s="192"/>
      <c r="J11" s="192"/>
      <c r="K11" s="192"/>
      <c r="L11" s="192"/>
      <c r="M11" s="192"/>
      <c r="N11" s="192"/>
      <c r="O11" s="192"/>
      <c r="P11" s="192"/>
      <c r="Q11" s="192"/>
      <c r="R11" s="192"/>
      <c r="S11" s="192"/>
      <c r="T11" s="192"/>
      <c r="U11" s="192"/>
      <c r="V11" s="192"/>
      <c r="W11" s="200"/>
      <c r="X11" s="200"/>
      <c r="Y11" s="200"/>
      <c r="Z11" s="200"/>
      <c r="AA11" s="200"/>
      <c r="AB11" s="200"/>
      <c r="AC11" s="202"/>
      <c r="AD11" s="202"/>
      <c r="AE11" s="202"/>
      <c r="AF11" s="202"/>
      <c r="AG11" s="202"/>
      <c r="AH11" s="202"/>
      <c r="AI11" s="202"/>
      <c r="AJ11" s="202"/>
      <c r="AK11" s="202"/>
      <c r="AL11" s="202"/>
      <c r="AM11" s="202"/>
      <c r="AN11" s="202"/>
    </row>
    <row r="12" spans="2:40" ht="14.25" x14ac:dyDescent="0.2">
      <c r="B12" s="188">
        <v>3</v>
      </c>
      <c r="C12" s="187" t="s">
        <v>434</v>
      </c>
      <c r="D12" s="190" t="s">
        <v>432</v>
      </c>
      <c r="E12" s="189">
        <v>0</v>
      </c>
      <c r="F12" s="189">
        <v>0</v>
      </c>
      <c r="G12" s="189">
        <v>0</v>
      </c>
      <c r="H12" s="189">
        <v>0</v>
      </c>
      <c r="I12" s="189">
        <v>0</v>
      </c>
      <c r="J12" s="189">
        <v>0</v>
      </c>
      <c r="K12" s="189">
        <v>0</v>
      </c>
      <c r="L12" s="189">
        <v>0</v>
      </c>
      <c r="M12" s="189">
        <v>0</v>
      </c>
      <c r="N12" s="189">
        <v>50</v>
      </c>
      <c r="O12" s="189">
        <v>0</v>
      </c>
      <c r="P12" s="189">
        <v>73.97</v>
      </c>
      <c r="Q12" s="189">
        <v>0</v>
      </c>
      <c r="R12" s="189">
        <v>0</v>
      </c>
      <c r="S12" s="189">
        <v>0</v>
      </c>
      <c r="T12" s="189">
        <v>60</v>
      </c>
      <c r="U12" s="189">
        <v>104.7</v>
      </c>
      <c r="V12" s="189">
        <v>50</v>
      </c>
      <c r="W12" s="200">
        <v>0</v>
      </c>
      <c r="X12" s="200">
        <v>0</v>
      </c>
      <c r="Y12" s="200">
        <v>200.36</v>
      </c>
      <c r="Z12" s="200">
        <v>50</v>
      </c>
      <c r="AA12" s="200">
        <v>96.08</v>
      </c>
      <c r="AB12" s="200">
        <v>152</v>
      </c>
      <c r="AC12" s="202">
        <v>205.8</v>
      </c>
      <c r="AD12" s="202">
        <v>54</v>
      </c>
      <c r="AE12" s="202">
        <v>0</v>
      </c>
      <c r="AF12" s="202">
        <v>0</v>
      </c>
      <c r="AG12" s="202">
        <v>461.66</v>
      </c>
      <c r="AH12" s="202">
        <v>0</v>
      </c>
      <c r="AI12" s="202">
        <v>143.38999999999999</v>
      </c>
      <c r="AJ12" s="202">
        <v>0</v>
      </c>
      <c r="AK12" s="202">
        <v>289.93</v>
      </c>
      <c r="AL12" s="202">
        <v>0</v>
      </c>
      <c r="AM12" s="202">
        <v>252.54</v>
      </c>
      <c r="AN12" s="202">
        <v>0</v>
      </c>
    </row>
    <row r="13" spans="2:40" ht="14.25" x14ac:dyDescent="0.2">
      <c r="B13" s="188">
        <v>4</v>
      </c>
      <c r="C13" s="187" t="s">
        <v>435</v>
      </c>
      <c r="D13" s="190" t="s">
        <v>432</v>
      </c>
      <c r="E13" s="192"/>
      <c r="F13" s="192"/>
      <c r="G13" s="192"/>
      <c r="H13" s="192"/>
      <c r="I13" s="192"/>
      <c r="J13" s="192"/>
      <c r="K13" s="192"/>
      <c r="L13" s="192"/>
      <c r="M13" s="192"/>
      <c r="N13" s="192"/>
      <c r="O13" s="192"/>
      <c r="P13" s="192"/>
      <c r="Q13" s="192"/>
      <c r="R13" s="192"/>
      <c r="S13" s="192"/>
      <c r="T13" s="192"/>
      <c r="U13" s="192"/>
      <c r="V13" s="192"/>
      <c r="W13" s="200"/>
      <c r="X13" s="200"/>
      <c r="Y13" s="200"/>
      <c r="Z13" s="200"/>
      <c r="AA13" s="200"/>
      <c r="AB13" s="200"/>
      <c r="AC13" s="202"/>
      <c r="AD13" s="202"/>
      <c r="AE13" s="202"/>
      <c r="AF13" s="202"/>
      <c r="AG13" s="202"/>
      <c r="AH13" s="202"/>
      <c r="AI13" s="202"/>
      <c r="AJ13" s="202"/>
      <c r="AK13" s="202"/>
      <c r="AL13" s="202"/>
      <c r="AM13" s="202"/>
      <c r="AN13" s="202"/>
    </row>
    <row r="14" spans="2:40" ht="14.25" x14ac:dyDescent="0.2">
      <c r="B14" s="188">
        <v>5</v>
      </c>
      <c r="C14" s="187" t="s">
        <v>436</v>
      </c>
      <c r="D14" s="190" t="s">
        <v>432</v>
      </c>
      <c r="E14" s="189">
        <f>SUM(E12:E13)</f>
        <v>0</v>
      </c>
      <c r="F14" s="189">
        <f t="shared" ref="F14:AN14" si="0">SUM(F12:F13)</f>
        <v>0</v>
      </c>
      <c r="G14" s="189">
        <f t="shared" si="0"/>
        <v>0</v>
      </c>
      <c r="H14" s="189">
        <f t="shared" si="0"/>
        <v>0</v>
      </c>
      <c r="I14" s="189">
        <f t="shared" si="0"/>
        <v>0</v>
      </c>
      <c r="J14" s="189">
        <f t="shared" si="0"/>
        <v>0</v>
      </c>
      <c r="K14" s="189">
        <f t="shared" si="0"/>
        <v>0</v>
      </c>
      <c r="L14" s="189">
        <f t="shared" si="0"/>
        <v>0</v>
      </c>
      <c r="M14" s="189">
        <f t="shared" si="0"/>
        <v>0</v>
      </c>
      <c r="N14" s="189">
        <f t="shared" si="0"/>
        <v>50</v>
      </c>
      <c r="O14" s="189">
        <f t="shared" si="0"/>
        <v>0</v>
      </c>
      <c r="P14" s="189">
        <f t="shared" si="0"/>
        <v>73.97</v>
      </c>
      <c r="Q14" s="189">
        <f t="shared" si="0"/>
        <v>0</v>
      </c>
      <c r="R14" s="189">
        <f t="shared" si="0"/>
        <v>0</v>
      </c>
      <c r="S14" s="189">
        <f t="shared" si="0"/>
        <v>0</v>
      </c>
      <c r="T14" s="189">
        <f t="shared" si="0"/>
        <v>60</v>
      </c>
      <c r="U14" s="189">
        <f t="shared" si="0"/>
        <v>104.7</v>
      </c>
      <c r="V14" s="189">
        <f t="shared" si="0"/>
        <v>50</v>
      </c>
      <c r="W14" s="191">
        <f t="shared" si="0"/>
        <v>0</v>
      </c>
      <c r="X14" s="191">
        <f t="shared" si="0"/>
        <v>0</v>
      </c>
      <c r="Y14" s="191">
        <f t="shared" si="0"/>
        <v>200.36</v>
      </c>
      <c r="Z14" s="191">
        <f t="shared" si="0"/>
        <v>50</v>
      </c>
      <c r="AA14" s="191">
        <f t="shared" si="0"/>
        <v>96.08</v>
      </c>
      <c r="AB14" s="191">
        <f t="shared" si="0"/>
        <v>152</v>
      </c>
      <c r="AC14" s="191">
        <f t="shared" si="0"/>
        <v>205.8</v>
      </c>
      <c r="AD14" s="191">
        <f t="shared" si="0"/>
        <v>54</v>
      </c>
      <c r="AE14" s="191">
        <f t="shared" si="0"/>
        <v>0</v>
      </c>
      <c r="AF14" s="191">
        <f t="shared" si="0"/>
        <v>0</v>
      </c>
      <c r="AG14" s="191">
        <f t="shared" si="0"/>
        <v>461.66</v>
      </c>
      <c r="AH14" s="191">
        <f t="shared" si="0"/>
        <v>0</v>
      </c>
      <c r="AI14" s="191">
        <f t="shared" si="0"/>
        <v>143.38999999999999</v>
      </c>
      <c r="AJ14" s="191">
        <f t="shared" si="0"/>
        <v>0</v>
      </c>
      <c r="AK14" s="191">
        <f t="shared" si="0"/>
        <v>289.93</v>
      </c>
      <c r="AL14" s="191">
        <f t="shared" si="0"/>
        <v>0</v>
      </c>
      <c r="AM14" s="191">
        <f t="shared" si="0"/>
        <v>252.54</v>
      </c>
      <c r="AN14" s="191">
        <f t="shared" si="0"/>
        <v>0</v>
      </c>
    </row>
    <row r="15" spans="2:40" ht="14.25" x14ac:dyDescent="0.2">
      <c r="B15" s="188">
        <v>6</v>
      </c>
      <c r="C15" s="187" t="s">
        <v>309</v>
      </c>
      <c r="D15" s="190" t="s">
        <v>432</v>
      </c>
      <c r="E15" s="192"/>
      <c r="F15" s="192"/>
      <c r="G15" s="192"/>
      <c r="H15" s="192"/>
      <c r="I15" s="192"/>
      <c r="J15" s="192"/>
      <c r="K15" s="192"/>
      <c r="L15" s="192"/>
      <c r="M15" s="192"/>
      <c r="N15" s="192"/>
      <c r="O15" s="192"/>
      <c r="P15" s="192"/>
      <c r="Q15" s="192"/>
      <c r="R15" s="192"/>
      <c r="S15" s="192"/>
      <c r="T15" s="192"/>
      <c r="U15" s="192"/>
      <c r="V15" s="192"/>
      <c r="W15" s="191"/>
      <c r="X15" s="191"/>
      <c r="Y15" s="191"/>
      <c r="Z15" s="191"/>
      <c r="AA15" s="191"/>
      <c r="AB15" s="191"/>
      <c r="AC15" s="191"/>
      <c r="AD15" s="191"/>
      <c r="AE15" s="191"/>
      <c r="AF15" s="191"/>
      <c r="AG15" s="191"/>
      <c r="AH15" s="191"/>
      <c r="AI15" s="191"/>
      <c r="AJ15" s="191"/>
      <c r="AK15" s="191"/>
      <c r="AL15" s="191"/>
      <c r="AM15" s="191"/>
      <c r="AN15" s="191"/>
    </row>
    <row r="16" spans="2:40" ht="14.25" x14ac:dyDescent="0.2">
      <c r="B16" s="188">
        <v>7</v>
      </c>
      <c r="C16" s="187" t="s">
        <v>437</v>
      </c>
      <c r="D16" s="190" t="s">
        <v>432</v>
      </c>
      <c r="E16" s="189">
        <f>E14-E15</f>
        <v>0</v>
      </c>
      <c r="F16" s="189">
        <f t="shared" ref="F16:AN16" si="1">F14-F15</f>
        <v>0</v>
      </c>
      <c r="G16" s="189">
        <f t="shared" si="1"/>
        <v>0</v>
      </c>
      <c r="H16" s="189">
        <f t="shared" si="1"/>
        <v>0</v>
      </c>
      <c r="I16" s="189">
        <f t="shared" si="1"/>
        <v>0</v>
      </c>
      <c r="J16" s="189">
        <f t="shared" si="1"/>
        <v>0</v>
      </c>
      <c r="K16" s="189">
        <f t="shared" si="1"/>
        <v>0</v>
      </c>
      <c r="L16" s="189">
        <f t="shared" si="1"/>
        <v>0</v>
      </c>
      <c r="M16" s="189">
        <f t="shared" si="1"/>
        <v>0</v>
      </c>
      <c r="N16" s="189">
        <f t="shared" si="1"/>
        <v>50</v>
      </c>
      <c r="O16" s="189">
        <f t="shared" si="1"/>
        <v>0</v>
      </c>
      <c r="P16" s="189">
        <f t="shared" si="1"/>
        <v>73.97</v>
      </c>
      <c r="Q16" s="189">
        <f t="shared" si="1"/>
        <v>0</v>
      </c>
      <c r="R16" s="189">
        <f t="shared" si="1"/>
        <v>0</v>
      </c>
      <c r="S16" s="189">
        <f t="shared" si="1"/>
        <v>0</v>
      </c>
      <c r="T16" s="189">
        <f t="shared" si="1"/>
        <v>60</v>
      </c>
      <c r="U16" s="189">
        <f t="shared" si="1"/>
        <v>104.7</v>
      </c>
      <c r="V16" s="189">
        <f t="shared" si="1"/>
        <v>50</v>
      </c>
      <c r="W16" s="191">
        <f t="shared" si="1"/>
        <v>0</v>
      </c>
      <c r="X16" s="191">
        <f t="shared" si="1"/>
        <v>0</v>
      </c>
      <c r="Y16" s="191">
        <f t="shared" si="1"/>
        <v>200.36</v>
      </c>
      <c r="Z16" s="191">
        <f t="shared" si="1"/>
        <v>50</v>
      </c>
      <c r="AA16" s="191">
        <f t="shared" si="1"/>
        <v>96.08</v>
      </c>
      <c r="AB16" s="191">
        <f t="shared" si="1"/>
        <v>152</v>
      </c>
      <c r="AC16" s="191">
        <f t="shared" si="1"/>
        <v>205.8</v>
      </c>
      <c r="AD16" s="191">
        <f t="shared" si="1"/>
        <v>54</v>
      </c>
      <c r="AE16" s="191">
        <f t="shared" si="1"/>
        <v>0</v>
      </c>
      <c r="AF16" s="191">
        <f t="shared" si="1"/>
        <v>0</v>
      </c>
      <c r="AG16" s="191">
        <f t="shared" si="1"/>
        <v>461.66</v>
      </c>
      <c r="AH16" s="191">
        <f t="shared" si="1"/>
        <v>0</v>
      </c>
      <c r="AI16" s="191">
        <f t="shared" si="1"/>
        <v>143.38999999999999</v>
      </c>
      <c r="AJ16" s="191">
        <f t="shared" si="1"/>
        <v>0</v>
      </c>
      <c r="AK16" s="191">
        <f t="shared" si="1"/>
        <v>289.93</v>
      </c>
      <c r="AL16" s="191">
        <f t="shared" si="1"/>
        <v>0</v>
      </c>
      <c r="AM16" s="191">
        <f t="shared" si="1"/>
        <v>252.54</v>
      </c>
      <c r="AN16" s="191">
        <f t="shared" si="1"/>
        <v>0</v>
      </c>
    </row>
    <row r="17" spans="2:40" ht="15" x14ac:dyDescent="0.2">
      <c r="B17" s="184" t="s">
        <v>72</v>
      </c>
      <c r="C17" s="185" t="s">
        <v>311</v>
      </c>
      <c r="D17" s="190"/>
      <c r="E17" s="192"/>
      <c r="F17" s="192"/>
      <c r="G17" s="192"/>
      <c r="H17" s="192"/>
      <c r="I17" s="192"/>
      <c r="J17" s="192"/>
      <c r="K17" s="192"/>
      <c r="L17" s="192"/>
      <c r="M17" s="192"/>
      <c r="N17" s="192"/>
      <c r="O17" s="192"/>
      <c r="P17" s="192"/>
      <c r="Q17" s="192"/>
      <c r="R17" s="192"/>
      <c r="S17" s="192"/>
      <c r="T17" s="192"/>
      <c r="U17" s="192"/>
      <c r="V17" s="192"/>
      <c r="W17" s="200"/>
      <c r="X17" s="200"/>
      <c r="Y17" s="200"/>
      <c r="Z17" s="200"/>
      <c r="AA17" s="200"/>
      <c r="AB17" s="200"/>
      <c r="AC17" s="202"/>
      <c r="AD17" s="202"/>
      <c r="AE17" s="202"/>
      <c r="AF17" s="202"/>
      <c r="AG17" s="202"/>
      <c r="AH17" s="202"/>
      <c r="AI17" s="202"/>
      <c r="AJ17" s="202"/>
      <c r="AK17" s="202"/>
      <c r="AL17" s="202"/>
      <c r="AM17" s="202"/>
      <c r="AN17" s="202"/>
    </row>
    <row r="18" spans="2:40" ht="14.25" x14ac:dyDescent="0.2">
      <c r="B18" s="188">
        <v>8</v>
      </c>
      <c r="C18" s="187" t="s">
        <v>438</v>
      </c>
      <c r="D18" s="190" t="s">
        <v>433</v>
      </c>
      <c r="E18" s="191">
        <v>0</v>
      </c>
      <c r="F18" s="191">
        <v>0</v>
      </c>
      <c r="G18" s="191">
        <v>0</v>
      </c>
      <c r="H18" s="191">
        <v>0</v>
      </c>
      <c r="I18" s="191">
        <v>0</v>
      </c>
      <c r="J18" s="191">
        <v>0</v>
      </c>
      <c r="K18" s="191">
        <v>0</v>
      </c>
      <c r="L18" s="191">
        <v>0</v>
      </c>
      <c r="M18" s="191">
        <v>0</v>
      </c>
      <c r="N18" s="191">
        <v>0.38692199999999999</v>
      </c>
      <c r="O18" s="191">
        <v>0</v>
      </c>
      <c r="P18" s="191">
        <v>0.53244223200000007</v>
      </c>
      <c r="Q18" s="191">
        <v>0</v>
      </c>
      <c r="R18" s="191">
        <v>0</v>
      </c>
      <c r="S18" s="191">
        <v>0</v>
      </c>
      <c r="T18" s="191">
        <v>0.43987530000000002</v>
      </c>
      <c r="U18" s="191">
        <v>0.63640450000000004</v>
      </c>
      <c r="V18" s="191">
        <v>0.3722974</v>
      </c>
      <c r="W18" s="200">
        <v>0</v>
      </c>
      <c r="X18" s="200">
        <v>0</v>
      </c>
      <c r="Y18" s="200">
        <v>1.3287975000000001</v>
      </c>
      <c r="Z18" s="200">
        <v>0.39217299999999999</v>
      </c>
      <c r="AA18" s="200">
        <v>0.631420914</v>
      </c>
      <c r="AB18" s="200">
        <v>1.1366554</v>
      </c>
      <c r="AC18" s="200">
        <v>1.2085653000000001</v>
      </c>
      <c r="AD18" s="200">
        <v>0.39265129999999998</v>
      </c>
      <c r="AE18" s="200">
        <v>0</v>
      </c>
      <c r="AF18" s="200">
        <v>0</v>
      </c>
      <c r="AG18" s="200">
        <v>2.781087979</v>
      </c>
      <c r="AH18" s="200">
        <v>0</v>
      </c>
      <c r="AI18" s="200">
        <v>0.86935819999999997</v>
      </c>
      <c r="AJ18" s="200">
        <v>0</v>
      </c>
      <c r="AK18" s="200">
        <v>1.7382211999999999</v>
      </c>
      <c r="AL18" s="200">
        <v>0</v>
      </c>
      <c r="AM18" s="200">
        <v>1.5043435999999999</v>
      </c>
      <c r="AN18" s="200">
        <v>0</v>
      </c>
    </row>
    <row r="19" spans="2:40" ht="14.25" x14ac:dyDescent="0.2">
      <c r="B19" s="188">
        <v>9</v>
      </c>
      <c r="C19" s="187" t="s">
        <v>439</v>
      </c>
      <c r="D19" s="190" t="s">
        <v>433</v>
      </c>
      <c r="E19" s="192"/>
      <c r="F19" s="192"/>
      <c r="G19" s="192"/>
      <c r="H19" s="192"/>
      <c r="I19" s="192"/>
      <c r="J19" s="192"/>
      <c r="K19" s="192"/>
      <c r="L19" s="192"/>
      <c r="M19" s="192"/>
      <c r="N19" s="192"/>
      <c r="O19" s="192"/>
      <c r="P19" s="192"/>
      <c r="Q19" s="192"/>
      <c r="R19" s="192"/>
      <c r="S19" s="192"/>
      <c r="T19" s="192"/>
      <c r="U19" s="192"/>
      <c r="V19" s="192"/>
      <c r="W19" s="200"/>
      <c r="X19" s="200"/>
      <c r="Y19" s="200"/>
      <c r="Z19" s="200"/>
      <c r="AA19" s="200"/>
      <c r="AB19" s="200"/>
      <c r="AC19" s="202"/>
      <c r="AD19" s="202"/>
      <c r="AE19" s="202"/>
      <c r="AF19" s="202"/>
      <c r="AG19" s="202"/>
      <c r="AH19" s="202"/>
      <c r="AI19" s="202"/>
      <c r="AJ19" s="202"/>
      <c r="AK19" s="202"/>
      <c r="AL19" s="202"/>
      <c r="AM19" s="202"/>
      <c r="AN19" s="202"/>
    </row>
    <row r="20" spans="2:40" ht="14.25" x14ac:dyDescent="0.2">
      <c r="B20" s="188">
        <v>10</v>
      </c>
      <c r="C20" s="187" t="s">
        <v>314</v>
      </c>
      <c r="D20" s="190" t="s">
        <v>433</v>
      </c>
      <c r="E20" s="191"/>
      <c r="F20" s="192"/>
      <c r="G20" s="192"/>
      <c r="H20" s="192"/>
      <c r="I20" s="192"/>
      <c r="J20" s="192"/>
      <c r="K20" s="192"/>
      <c r="L20" s="192"/>
      <c r="M20" s="192"/>
      <c r="N20" s="192"/>
      <c r="O20" s="192"/>
      <c r="P20" s="192"/>
      <c r="Q20" s="192"/>
      <c r="R20" s="192"/>
      <c r="S20" s="192"/>
      <c r="T20" s="192"/>
      <c r="U20" s="192"/>
      <c r="V20" s="192"/>
      <c r="W20" s="202"/>
      <c r="X20" s="202"/>
      <c r="Y20" s="202"/>
      <c r="Z20" s="202"/>
      <c r="AA20" s="202"/>
      <c r="AB20" s="202"/>
      <c r="AC20" s="202"/>
      <c r="AD20" s="202"/>
      <c r="AE20" s="202"/>
      <c r="AF20" s="202"/>
      <c r="AG20" s="202"/>
      <c r="AH20" s="202"/>
      <c r="AI20" s="202"/>
      <c r="AJ20" s="202"/>
      <c r="AK20" s="202"/>
      <c r="AL20" s="202"/>
      <c r="AM20" s="202"/>
      <c r="AN20" s="202"/>
    </row>
    <row r="21" spans="2:40" ht="14.25" x14ac:dyDescent="0.2">
      <c r="B21" s="188">
        <v>11</v>
      </c>
      <c r="C21" s="187" t="s">
        <v>315</v>
      </c>
      <c r="D21" s="190" t="s">
        <v>433</v>
      </c>
      <c r="E21" s="191">
        <f>SUM(E18:E20)</f>
        <v>0</v>
      </c>
      <c r="F21" s="191">
        <f t="shared" ref="F21:AN21" si="2">SUM(F18:F20)</f>
        <v>0</v>
      </c>
      <c r="G21" s="191">
        <f t="shared" si="2"/>
        <v>0</v>
      </c>
      <c r="H21" s="191">
        <f t="shared" si="2"/>
        <v>0</v>
      </c>
      <c r="I21" s="191">
        <f t="shared" si="2"/>
        <v>0</v>
      </c>
      <c r="J21" s="191">
        <f t="shared" si="2"/>
        <v>0</v>
      </c>
      <c r="K21" s="191">
        <f t="shared" si="2"/>
        <v>0</v>
      </c>
      <c r="L21" s="191">
        <f t="shared" si="2"/>
        <v>0</v>
      </c>
      <c r="M21" s="191">
        <f t="shared" si="2"/>
        <v>0</v>
      </c>
      <c r="N21" s="191">
        <f t="shared" si="2"/>
        <v>0.38692199999999999</v>
      </c>
      <c r="O21" s="191">
        <f t="shared" si="2"/>
        <v>0</v>
      </c>
      <c r="P21" s="191">
        <f t="shared" si="2"/>
        <v>0.53244223200000007</v>
      </c>
      <c r="Q21" s="191">
        <f t="shared" si="2"/>
        <v>0</v>
      </c>
      <c r="R21" s="191">
        <f t="shared" si="2"/>
        <v>0</v>
      </c>
      <c r="S21" s="191">
        <f t="shared" si="2"/>
        <v>0</v>
      </c>
      <c r="T21" s="191">
        <f t="shared" si="2"/>
        <v>0.43987530000000002</v>
      </c>
      <c r="U21" s="191">
        <f t="shared" si="2"/>
        <v>0.63640450000000004</v>
      </c>
      <c r="V21" s="191">
        <f t="shared" si="2"/>
        <v>0.3722974</v>
      </c>
      <c r="W21" s="191">
        <f t="shared" si="2"/>
        <v>0</v>
      </c>
      <c r="X21" s="191">
        <f t="shared" si="2"/>
        <v>0</v>
      </c>
      <c r="Y21" s="191">
        <f t="shared" si="2"/>
        <v>1.3287975000000001</v>
      </c>
      <c r="Z21" s="191">
        <f t="shared" si="2"/>
        <v>0.39217299999999999</v>
      </c>
      <c r="AA21" s="191">
        <f t="shared" si="2"/>
        <v>0.631420914</v>
      </c>
      <c r="AB21" s="191">
        <f t="shared" si="2"/>
        <v>1.1366554</v>
      </c>
      <c r="AC21" s="191">
        <f t="shared" si="2"/>
        <v>1.2085653000000001</v>
      </c>
      <c r="AD21" s="191">
        <f t="shared" si="2"/>
        <v>0.39265129999999998</v>
      </c>
      <c r="AE21" s="191">
        <f t="shared" si="2"/>
        <v>0</v>
      </c>
      <c r="AF21" s="191">
        <f t="shared" si="2"/>
        <v>0</v>
      </c>
      <c r="AG21" s="191">
        <f t="shared" si="2"/>
        <v>2.781087979</v>
      </c>
      <c r="AH21" s="191">
        <f t="shared" si="2"/>
        <v>0</v>
      </c>
      <c r="AI21" s="191">
        <f t="shared" si="2"/>
        <v>0.86935819999999997</v>
      </c>
      <c r="AJ21" s="191">
        <f t="shared" si="2"/>
        <v>0</v>
      </c>
      <c r="AK21" s="191">
        <f t="shared" si="2"/>
        <v>1.7382211999999999</v>
      </c>
      <c r="AL21" s="191">
        <f t="shared" si="2"/>
        <v>0</v>
      </c>
      <c r="AM21" s="191">
        <f t="shared" si="2"/>
        <v>1.5043435999999999</v>
      </c>
      <c r="AN21" s="191">
        <f t="shared" si="2"/>
        <v>0</v>
      </c>
    </row>
    <row r="22" spans="2:40" ht="15" x14ac:dyDescent="0.2">
      <c r="B22" s="184" t="s">
        <v>316</v>
      </c>
      <c r="C22" s="185" t="s">
        <v>317</v>
      </c>
      <c r="D22" s="190"/>
      <c r="E22" s="191"/>
      <c r="F22" s="192"/>
      <c r="G22" s="192"/>
      <c r="H22" s="192"/>
      <c r="I22" s="192"/>
      <c r="J22" s="192"/>
      <c r="K22" s="192"/>
      <c r="L22" s="192"/>
      <c r="M22" s="192"/>
      <c r="N22" s="192"/>
      <c r="O22" s="192"/>
      <c r="P22" s="192"/>
      <c r="Q22" s="192"/>
      <c r="R22" s="192"/>
      <c r="S22" s="192"/>
      <c r="T22" s="192"/>
      <c r="U22" s="192"/>
      <c r="V22" s="192"/>
      <c r="W22" s="202"/>
      <c r="X22" s="202"/>
      <c r="Y22" s="202"/>
      <c r="Z22" s="202"/>
      <c r="AA22" s="202"/>
      <c r="AB22" s="202"/>
      <c r="AC22" s="202"/>
      <c r="AD22" s="202"/>
      <c r="AE22" s="202"/>
      <c r="AF22" s="202"/>
      <c r="AG22" s="202"/>
      <c r="AH22" s="202"/>
      <c r="AI22" s="202"/>
      <c r="AJ22" s="202"/>
      <c r="AK22" s="202"/>
      <c r="AL22" s="202"/>
      <c r="AM22" s="202"/>
      <c r="AN22" s="202"/>
    </row>
    <row r="23" spans="2:40" ht="14.25" x14ac:dyDescent="0.2">
      <c r="B23" s="188">
        <v>12</v>
      </c>
      <c r="C23" s="187" t="s">
        <v>318</v>
      </c>
      <c r="D23" s="190"/>
      <c r="E23" s="192"/>
      <c r="F23" s="192"/>
      <c r="G23" s="192"/>
      <c r="H23" s="192"/>
      <c r="I23" s="192"/>
      <c r="J23" s="192"/>
      <c r="K23" s="192"/>
      <c r="L23" s="192"/>
      <c r="M23" s="192"/>
      <c r="N23" s="192"/>
      <c r="O23" s="192"/>
      <c r="P23" s="192"/>
      <c r="Q23" s="192"/>
      <c r="R23" s="192"/>
      <c r="S23" s="192"/>
      <c r="T23" s="192"/>
      <c r="U23" s="192"/>
      <c r="V23" s="192"/>
      <c r="W23" s="202"/>
      <c r="X23" s="202"/>
      <c r="Y23" s="202"/>
      <c r="Z23" s="202"/>
      <c r="AA23" s="202"/>
      <c r="AB23" s="202"/>
      <c r="AC23" s="202"/>
      <c r="AD23" s="202"/>
      <c r="AE23" s="202"/>
      <c r="AF23" s="202"/>
      <c r="AG23" s="202"/>
      <c r="AH23" s="202"/>
      <c r="AI23" s="202"/>
      <c r="AJ23" s="202"/>
      <c r="AK23" s="202"/>
      <c r="AL23" s="202"/>
      <c r="AM23" s="202"/>
      <c r="AN23" s="202"/>
    </row>
    <row r="24" spans="2:40" ht="14.25" x14ac:dyDescent="0.2">
      <c r="B24" s="188"/>
      <c r="C24" s="187" t="s">
        <v>319</v>
      </c>
      <c r="D24" s="190" t="s">
        <v>433</v>
      </c>
      <c r="E24" s="192"/>
      <c r="F24" s="192"/>
      <c r="G24" s="192"/>
      <c r="H24" s="192"/>
      <c r="I24" s="192"/>
      <c r="J24" s="192"/>
      <c r="K24" s="192"/>
      <c r="L24" s="192"/>
      <c r="M24" s="192"/>
      <c r="N24" s="192"/>
      <c r="O24" s="192"/>
      <c r="P24" s="192"/>
      <c r="Q24" s="192"/>
      <c r="R24" s="192"/>
      <c r="S24" s="192"/>
      <c r="T24" s="192"/>
      <c r="U24" s="192"/>
      <c r="V24" s="192"/>
      <c r="W24" s="202"/>
      <c r="X24" s="202"/>
      <c r="Y24" s="202"/>
      <c r="Z24" s="202"/>
      <c r="AA24" s="202"/>
      <c r="AB24" s="202"/>
      <c r="AC24" s="202"/>
      <c r="AD24" s="202"/>
      <c r="AE24" s="202"/>
      <c r="AF24" s="202"/>
      <c r="AG24" s="202"/>
      <c r="AH24" s="202"/>
      <c r="AI24" s="202"/>
      <c r="AJ24" s="202"/>
      <c r="AK24" s="202"/>
      <c r="AL24" s="202"/>
      <c r="AM24" s="202"/>
      <c r="AN24" s="202"/>
    </row>
    <row r="25" spans="2:40" ht="14.25" x14ac:dyDescent="0.2">
      <c r="B25" s="188"/>
      <c r="C25" s="187" t="s">
        <v>320</v>
      </c>
      <c r="D25" s="190" t="s">
        <v>433</v>
      </c>
      <c r="E25" s="192"/>
      <c r="F25" s="192"/>
      <c r="G25" s="192"/>
      <c r="H25" s="192"/>
      <c r="I25" s="192"/>
      <c r="J25" s="192"/>
      <c r="K25" s="192"/>
      <c r="L25" s="192"/>
      <c r="M25" s="192"/>
      <c r="N25" s="192"/>
      <c r="O25" s="192"/>
      <c r="P25" s="192"/>
      <c r="Q25" s="192"/>
      <c r="R25" s="192"/>
      <c r="S25" s="192"/>
      <c r="T25" s="192"/>
      <c r="U25" s="192"/>
      <c r="V25" s="192"/>
      <c r="W25" s="202"/>
      <c r="X25" s="202"/>
      <c r="Y25" s="202"/>
      <c r="Z25" s="202"/>
      <c r="AA25" s="202"/>
      <c r="AB25" s="202"/>
      <c r="AC25" s="202"/>
      <c r="AD25" s="202"/>
      <c r="AE25" s="202"/>
      <c r="AF25" s="202"/>
      <c r="AG25" s="202"/>
      <c r="AH25" s="202"/>
      <c r="AI25" s="202"/>
      <c r="AJ25" s="202"/>
      <c r="AK25" s="202"/>
      <c r="AL25" s="202"/>
      <c r="AM25" s="202"/>
      <c r="AN25" s="202"/>
    </row>
    <row r="26" spans="2:40" ht="14.25" x14ac:dyDescent="0.2">
      <c r="B26" s="188"/>
      <c r="C26" s="187" t="s">
        <v>321</v>
      </c>
      <c r="D26" s="190" t="s">
        <v>433</v>
      </c>
      <c r="E26" s="192"/>
      <c r="F26" s="192"/>
      <c r="G26" s="192"/>
      <c r="H26" s="192"/>
      <c r="I26" s="192"/>
      <c r="J26" s="192"/>
      <c r="K26" s="192"/>
      <c r="L26" s="192"/>
      <c r="M26" s="192"/>
      <c r="N26" s="192"/>
      <c r="O26" s="192"/>
      <c r="P26" s="192"/>
      <c r="Q26" s="192"/>
      <c r="R26" s="192"/>
      <c r="S26" s="192"/>
      <c r="T26" s="192"/>
      <c r="U26" s="192"/>
      <c r="V26" s="192"/>
      <c r="W26" s="202"/>
      <c r="X26" s="202"/>
      <c r="Y26" s="202"/>
      <c r="Z26" s="202"/>
      <c r="AA26" s="202"/>
      <c r="AB26" s="202"/>
      <c r="AC26" s="202"/>
      <c r="AD26" s="202"/>
      <c r="AE26" s="202"/>
      <c r="AF26" s="202"/>
      <c r="AG26" s="202"/>
      <c r="AH26" s="202"/>
      <c r="AI26" s="202"/>
      <c r="AJ26" s="202"/>
      <c r="AK26" s="202"/>
      <c r="AL26" s="202"/>
      <c r="AM26" s="202"/>
      <c r="AN26" s="202"/>
    </row>
    <row r="27" spans="2:40" ht="14.25" x14ac:dyDescent="0.2">
      <c r="B27" s="188"/>
      <c r="C27" s="187" t="s">
        <v>9</v>
      </c>
      <c r="D27" s="190" t="s">
        <v>433</v>
      </c>
      <c r="E27" s="192"/>
      <c r="F27" s="192"/>
      <c r="G27" s="192"/>
      <c r="H27" s="192"/>
      <c r="I27" s="192"/>
      <c r="J27" s="192"/>
      <c r="K27" s="192"/>
      <c r="L27" s="192"/>
      <c r="M27" s="192"/>
      <c r="N27" s="192"/>
      <c r="O27" s="192"/>
      <c r="P27" s="192"/>
      <c r="Q27" s="192"/>
      <c r="R27" s="192"/>
      <c r="S27" s="192"/>
      <c r="T27" s="192"/>
      <c r="U27" s="192"/>
      <c r="V27" s="192"/>
      <c r="W27" s="202"/>
      <c r="X27" s="202"/>
      <c r="Y27" s="202"/>
      <c r="Z27" s="202"/>
      <c r="AA27" s="202"/>
      <c r="AB27" s="202"/>
      <c r="AC27" s="202"/>
      <c r="AD27" s="202"/>
      <c r="AE27" s="202"/>
      <c r="AF27" s="202"/>
      <c r="AG27" s="202"/>
      <c r="AH27" s="202"/>
      <c r="AI27" s="202"/>
      <c r="AJ27" s="202"/>
      <c r="AK27" s="202"/>
      <c r="AL27" s="202"/>
      <c r="AM27" s="202"/>
      <c r="AN27" s="202"/>
    </row>
    <row r="28" spans="2:40" ht="14.25" x14ac:dyDescent="0.2">
      <c r="B28" s="188">
        <v>13</v>
      </c>
      <c r="C28" s="187" t="s">
        <v>440</v>
      </c>
      <c r="D28" s="190" t="s">
        <v>433</v>
      </c>
      <c r="E28" s="192"/>
      <c r="F28" s="192"/>
      <c r="G28" s="192"/>
      <c r="H28" s="192"/>
      <c r="I28" s="192"/>
      <c r="J28" s="192"/>
      <c r="K28" s="192"/>
      <c r="L28" s="192"/>
      <c r="M28" s="192"/>
      <c r="N28" s="192"/>
      <c r="O28" s="192"/>
      <c r="P28" s="192"/>
      <c r="Q28" s="192"/>
      <c r="R28" s="192"/>
      <c r="S28" s="192"/>
      <c r="T28" s="192"/>
      <c r="U28" s="192"/>
      <c r="V28" s="192"/>
      <c r="W28" s="202"/>
      <c r="X28" s="202"/>
      <c r="Y28" s="202"/>
      <c r="Z28" s="202"/>
      <c r="AA28" s="202"/>
      <c r="AB28" s="202"/>
      <c r="AC28" s="202"/>
      <c r="AD28" s="202"/>
      <c r="AE28" s="202"/>
      <c r="AF28" s="202"/>
      <c r="AG28" s="202"/>
      <c r="AH28" s="202"/>
      <c r="AI28" s="202"/>
      <c r="AJ28" s="202"/>
      <c r="AK28" s="202"/>
      <c r="AL28" s="202"/>
      <c r="AM28" s="202"/>
      <c r="AN28" s="202"/>
    </row>
    <row r="29" spans="2:40" ht="14.25" x14ac:dyDescent="0.2">
      <c r="B29" s="188">
        <v>14</v>
      </c>
      <c r="C29" s="187" t="s">
        <v>323</v>
      </c>
      <c r="D29" s="190" t="s">
        <v>433</v>
      </c>
      <c r="E29" s="192"/>
      <c r="F29" s="192"/>
      <c r="G29" s="192"/>
      <c r="H29" s="192"/>
      <c r="I29" s="192"/>
      <c r="J29" s="192"/>
      <c r="K29" s="192"/>
      <c r="L29" s="192"/>
      <c r="M29" s="192"/>
      <c r="N29" s="192"/>
      <c r="O29" s="192"/>
      <c r="P29" s="192"/>
      <c r="Q29" s="192"/>
      <c r="R29" s="192"/>
      <c r="S29" s="192"/>
      <c r="T29" s="192"/>
      <c r="U29" s="192"/>
      <c r="V29" s="192"/>
      <c r="W29" s="202"/>
      <c r="X29" s="202"/>
      <c r="Y29" s="202"/>
      <c r="Z29" s="202"/>
      <c r="AA29" s="202"/>
      <c r="AB29" s="202"/>
      <c r="AC29" s="202"/>
      <c r="AD29" s="202"/>
      <c r="AE29" s="202"/>
      <c r="AF29" s="202"/>
      <c r="AG29" s="202"/>
      <c r="AH29" s="202"/>
      <c r="AI29" s="202"/>
      <c r="AJ29" s="202"/>
      <c r="AK29" s="202"/>
      <c r="AL29" s="202"/>
      <c r="AM29" s="202"/>
      <c r="AN29" s="202"/>
    </row>
    <row r="30" spans="2:40" ht="21.75" customHeight="1" x14ac:dyDescent="0.2">
      <c r="B30" s="188">
        <v>15</v>
      </c>
      <c r="C30" s="187" t="s">
        <v>441</v>
      </c>
      <c r="D30" s="190" t="s">
        <v>433</v>
      </c>
      <c r="E30" s="192"/>
      <c r="F30" s="192"/>
      <c r="G30" s="192"/>
      <c r="H30" s="192"/>
      <c r="I30" s="192"/>
      <c r="J30" s="192"/>
      <c r="K30" s="192"/>
      <c r="L30" s="192"/>
      <c r="M30" s="192"/>
      <c r="N30" s="192"/>
      <c r="O30" s="192"/>
      <c r="P30" s="192"/>
      <c r="Q30" s="192"/>
      <c r="R30" s="192"/>
      <c r="S30" s="192"/>
      <c r="T30" s="192"/>
      <c r="U30" s="192"/>
      <c r="V30" s="192"/>
      <c r="W30" s="202"/>
      <c r="X30" s="202"/>
      <c r="Y30" s="202"/>
      <c r="Z30" s="202"/>
      <c r="AA30" s="202"/>
      <c r="AB30" s="202"/>
      <c r="AC30" s="202"/>
      <c r="AD30" s="202"/>
      <c r="AE30" s="202"/>
      <c r="AF30" s="202"/>
      <c r="AG30" s="202"/>
      <c r="AH30" s="202"/>
      <c r="AI30" s="202"/>
      <c r="AJ30" s="202"/>
      <c r="AK30" s="202"/>
      <c r="AL30" s="202"/>
      <c r="AM30" s="202"/>
      <c r="AN30" s="202"/>
    </row>
    <row r="31" spans="2:40" ht="14.25" x14ac:dyDescent="0.2">
      <c r="B31" s="188">
        <v>16</v>
      </c>
      <c r="C31" s="187" t="s">
        <v>324</v>
      </c>
      <c r="D31" s="190" t="s">
        <v>433</v>
      </c>
      <c r="E31" s="191">
        <f>E24+E25+E26+E27+E28+E29+E30</f>
        <v>0</v>
      </c>
      <c r="F31" s="191">
        <f t="shared" ref="F31:AN31" si="3">F24+F25+F26+F27+F28+F29+F30</f>
        <v>0</v>
      </c>
      <c r="G31" s="191">
        <f t="shared" si="3"/>
        <v>0</v>
      </c>
      <c r="H31" s="191">
        <f t="shared" si="3"/>
        <v>0</v>
      </c>
      <c r="I31" s="191">
        <f t="shared" si="3"/>
        <v>0</v>
      </c>
      <c r="J31" s="191">
        <f t="shared" si="3"/>
        <v>0</v>
      </c>
      <c r="K31" s="191">
        <f t="shared" si="3"/>
        <v>0</v>
      </c>
      <c r="L31" s="191">
        <f t="shared" si="3"/>
        <v>0</v>
      </c>
      <c r="M31" s="191">
        <f t="shared" si="3"/>
        <v>0</v>
      </c>
      <c r="N31" s="191">
        <f t="shared" si="3"/>
        <v>0</v>
      </c>
      <c r="O31" s="191">
        <f t="shared" si="3"/>
        <v>0</v>
      </c>
      <c r="P31" s="191">
        <f t="shared" si="3"/>
        <v>0</v>
      </c>
      <c r="Q31" s="191">
        <f t="shared" si="3"/>
        <v>0</v>
      </c>
      <c r="R31" s="191">
        <f t="shared" si="3"/>
        <v>0</v>
      </c>
      <c r="S31" s="191">
        <f t="shared" si="3"/>
        <v>0</v>
      </c>
      <c r="T31" s="191">
        <f t="shared" si="3"/>
        <v>0</v>
      </c>
      <c r="U31" s="191">
        <f t="shared" si="3"/>
        <v>0</v>
      </c>
      <c r="V31" s="191">
        <f t="shared" si="3"/>
        <v>0</v>
      </c>
      <c r="W31" s="191">
        <f t="shared" si="3"/>
        <v>0</v>
      </c>
      <c r="X31" s="191">
        <f t="shared" si="3"/>
        <v>0</v>
      </c>
      <c r="Y31" s="191">
        <f t="shared" si="3"/>
        <v>0</v>
      </c>
      <c r="Z31" s="191">
        <f t="shared" si="3"/>
        <v>0</v>
      </c>
      <c r="AA31" s="191">
        <f t="shared" si="3"/>
        <v>0</v>
      </c>
      <c r="AB31" s="191">
        <f t="shared" si="3"/>
        <v>0</v>
      </c>
      <c r="AC31" s="191">
        <f t="shared" si="3"/>
        <v>0</v>
      </c>
      <c r="AD31" s="191">
        <f t="shared" si="3"/>
        <v>0</v>
      </c>
      <c r="AE31" s="191">
        <f t="shared" si="3"/>
        <v>0</v>
      </c>
      <c r="AF31" s="191">
        <f t="shared" si="3"/>
        <v>0</v>
      </c>
      <c r="AG31" s="191">
        <f t="shared" si="3"/>
        <v>0</v>
      </c>
      <c r="AH31" s="191">
        <f t="shared" si="3"/>
        <v>0</v>
      </c>
      <c r="AI31" s="191">
        <f t="shared" si="3"/>
        <v>0</v>
      </c>
      <c r="AJ31" s="191">
        <f t="shared" si="3"/>
        <v>0</v>
      </c>
      <c r="AK31" s="191">
        <f t="shared" si="3"/>
        <v>0</v>
      </c>
      <c r="AL31" s="191">
        <f t="shared" si="3"/>
        <v>0</v>
      </c>
      <c r="AM31" s="191">
        <f t="shared" si="3"/>
        <v>0</v>
      </c>
      <c r="AN31" s="191">
        <f t="shared" si="3"/>
        <v>0</v>
      </c>
    </row>
    <row r="32" spans="2:40" ht="14.25" x14ac:dyDescent="0.2">
      <c r="B32" s="188">
        <v>17</v>
      </c>
      <c r="C32" s="187" t="s">
        <v>442</v>
      </c>
      <c r="D32" s="190" t="s">
        <v>433</v>
      </c>
      <c r="E32" s="191">
        <f>E21+E31</f>
        <v>0</v>
      </c>
      <c r="F32" s="191">
        <f t="shared" ref="F32:AN32" si="4">F21+F31</f>
        <v>0</v>
      </c>
      <c r="G32" s="191">
        <f t="shared" si="4"/>
        <v>0</v>
      </c>
      <c r="H32" s="191">
        <f t="shared" si="4"/>
        <v>0</v>
      </c>
      <c r="I32" s="191">
        <f t="shared" si="4"/>
        <v>0</v>
      </c>
      <c r="J32" s="191">
        <f t="shared" si="4"/>
        <v>0</v>
      </c>
      <c r="K32" s="191">
        <f t="shared" si="4"/>
        <v>0</v>
      </c>
      <c r="L32" s="191">
        <f t="shared" si="4"/>
        <v>0</v>
      </c>
      <c r="M32" s="191">
        <f t="shared" si="4"/>
        <v>0</v>
      </c>
      <c r="N32" s="191">
        <f t="shared" si="4"/>
        <v>0.38692199999999999</v>
      </c>
      <c r="O32" s="191">
        <f t="shared" si="4"/>
        <v>0</v>
      </c>
      <c r="P32" s="191">
        <f t="shared" si="4"/>
        <v>0.53244223200000007</v>
      </c>
      <c r="Q32" s="191">
        <f t="shared" si="4"/>
        <v>0</v>
      </c>
      <c r="R32" s="191">
        <f t="shared" si="4"/>
        <v>0</v>
      </c>
      <c r="S32" s="191">
        <f t="shared" si="4"/>
        <v>0</v>
      </c>
      <c r="T32" s="191">
        <f t="shared" si="4"/>
        <v>0.43987530000000002</v>
      </c>
      <c r="U32" s="191">
        <f t="shared" si="4"/>
        <v>0.63640450000000004</v>
      </c>
      <c r="V32" s="191">
        <f t="shared" si="4"/>
        <v>0.3722974</v>
      </c>
      <c r="W32" s="191">
        <f t="shared" si="4"/>
        <v>0</v>
      </c>
      <c r="X32" s="191">
        <f t="shared" si="4"/>
        <v>0</v>
      </c>
      <c r="Y32" s="191">
        <f t="shared" si="4"/>
        <v>1.3287975000000001</v>
      </c>
      <c r="Z32" s="191">
        <f t="shared" si="4"/>
        <v>0.39217299999999999</v>
      </c>
      <c r="AA32" s="191">
        <f t="shared" si="4"/>
        <v>0.631420914</v>
      </c>
      <c r="AB32" s="191">
        <f t="shared" si="4"/>
        <v>1.1366554</v>
      </c>
      <c r="AC32" s="191">
        <f t="shared" si="4"/>
        <v>1.2085653000000001</v>
      </c>
      <c r="AD32" s="191">
        <f t="shared" si="4"/>
        <v>0.39265129999999998</v>
      </c>
      <c r="AE32" s="191">
        <f t="shared" si="4"/>
        <v>0</v>
      </c>
      <c r="AF32" s="191">
        <f t="shared" si="4"/>
        <v>0</v>
      </c>
      <c r="AG32" s="191">
        <f t="shared" si="4"/>
        <v>2.781087979</v>
      </c>
      <c r="AH32" s="191">
        <f t="shared" si="4"/>
        <v>0</v>
      </c>
      <c r="AI32" s="191">
        <f t="shared" si="4"/>
        <v>0.86935819999999997</v>
      </c>
      <c r="AJ32" s="191">
        <f t="shared" si="4"/>
        <v>0</v>
      </c>
      <c r="AK32" s="191">
        <f t="shared" si="4"/>
        <v>1.7382211999999999</v>
      </c>
      <c r="AL32" s="191">
        <f t="shared" si="4"/>
        <v>0</v>
      </c>
      <c r="AM32" s="191">
        <f t="shared" si="4"/>
        <v>1.5043435999999999</v>
      </c>
      <c r="AN32" s="191">
        <f t="shared" si="4"/>
        <v>0</v>
      </c>
    </row>
    <row r="33" spans="2:40" ht="15" x14ac:dyDescent="0.2">
      <c r="B33" s="184" t="s">
        <v>326</v>
      </c>
      <c r="C33" s="185" t="s">
        <v>189</v>
      </c>
      <c r="D33" s="190"/>
      <c r="E33" s="189"/>
      <c r="F33" s="189"/>
      <c r="G33" s="189"/>
      <c r="H33" s="189"/>
      <c r="I33" s="189"/>
      <c r="J33" s="189"/>
      <c r="K33" s="189"/>
      <c r="L33" s="189"/>
      <c r="M33" s="189"/>
      <c r="N33" s="189"/>
      <c r="O33" s="189"/>
      <c r="P33" s="189"/>
      <c r="Q33" s="189"/>
      <c r="R33" s="189"/>
      <c r="S33" s="189"/>
      <c r="T33" s="189"/>
      <c r="U33" s="189"/>
      <c r="V33" s="189"/>
      <c r="W33" s="202"/>
      <c r="X33" s="202"/>
      <c r="Y33" s="202"/>
      <c r="Z33" s="202"/>
      <c r="AA33" s="202"/>
      <c r="AB33" s="202"/>
      <c r="AC33" s="202"/>
      <c r="AD33" s="202"/>
      <c r="AE33" s="202"/>
      <c r="AF33" s="202"/>
      <c r="AG33" s="202"/>
      <c r="AH33" s="202"/>
      <c r="AI33" s="202"/>
      <c r="AJ33" s="202"/>
      <c r="AK33" s="202"/>
      <c r="AL33" s="202"/>
      <c r="AM33" s="202"/>
      <c r="AN33" s="202"/>
    </row>
    <row r="34" spans="2:40" ht="14.25" x14ac:dyDescent="0.2">
      <c r="B34" s="188">
        <v>18</v>
      </c>
      <c r="C34" s="187" t="s">
        <v>443</v>
      </c>
      <c r="D34" s="190" t="s">
        <v>444</v>
      </c>
      <c r="E34" s="189">
        <f>(E10+E32)/(E9+E16)*10000000</f>
        <v>57988.555779019873</v>
      </c>
      <c r="F34" s="189">
        <f t="shared" ref="F34:AN34" si="5">(F10+F32)/(F9+F16)*10000000</f>
        <v>89783.517375961615</v>
      </c>
      <c r="G34" s="189">
        <f t="shared" si="5"/>
        <v>57988.555779019858</v>
      </c>
      <c r="H34" s="189">
        <f t="shared" si="5"/>
        <v>89783.517375961615</v>
      </c>
      <c r="I34" s="189">
        <f t="shared" si="5"/>
        <v>57988.555779019851</v>
      </c>
      <c r="J34" s="189">
        <f t="shared" si="5"/>
        <v>89783.517375961615</v>
      </c>
      <c r="K34" s="189">
        <f t="shared" si="5"/>
        <v>57988.555779019858</v>
      </c>
      <c r="L34" s="189">
        <f t="shared" si="5"/>
        <v>89783.517375961615</v>
      </c>
      <c r="M34" s="189">
        <f t="shared" si="5"/>
        <v>57988.555779019858</v>
      </c>
      <c r="N34" s="189">
        <f t="shared" si="5"/>
        <v>88330.234671730199</v>
      </c>
      <c r="O34" s="189">
        <f t="shared" si="5"/>
        <v>57988.555779019858</v>
      </c>
      <c r="P34" s="189">
        <f t="shared" si="5"/>
        <v>85813.659969990797</v>
      </c>
      <c r="Q34" s="189">
        <f t="shared" si="5"/>
        <v>57988.555779019858</v>
      </c>
      <c r="R34" s="189">
        <f t="shared" si="5"/>
        <v>85813.659969990797</v>
      </c>
      <c r="S34" s="189">
        <f t="shared" si="5"/>
        <v>57988.555779019851</v>
      </c>
      <c r="T34" s="189">
        <f t="shared" si="5"/>
        <v>84152.603635950043</v>
      </c>
      <c r="U34" s="189">
        <f t="shared" si="5"/>
        <v>58116.486677654888</v>
      </c>
      <c r="V34" s="189">
        <f t="shared" si="5"/>
        <v>83109.345107885834</v>
      </c>
      <c r="W34" s="189">
        <f t="shared" si="5"/>
        <v>58116.486677654888</v>
      </c>
      <c r="X34" s="189">
        <f t="shared" si="5"/>
        <v>83109.34510788582</v>
      </c>
      <c r="Y34" s="189">
        <f t="shared" si="5"/>
        <v>58832.448700445842</v>
      </c>
      <c r="Z34" s="189">
        <f t="shared" si="5"/>
        <v>82615.770364676326</v>
      </c>
      <c r="AA34" s="189">
        <f t="shared" si="5"/>
        <v>59125.582118935919</v>
      </c>
      <c r="AB34" s="189">
        <f t="shared" si="5"/>
        <v>80539.190590231112</v>
      </c>
      <c r="AC34" s="189">
        <f t="shared" si="5"/>
        <v>59091.86680432655</v>
      </c>
      <c r="AD34" s="189">
        <f t="shared" si="5"/>
        <v>79852.655903324136</v>
      </c>
      <c r="AE34" s="189">
        <f t="shared" si="5"/>
        <v>59091.86680432655</v>
      </c>
      <c r="AF34" s="189">
        <f t="shared" si="5"/>
        <v>79852.65590332415</v>
      </c>
      <c r="AG34" s="189">
        <f t="shared" si="5"/>
        <v>59307.931967014098</v>
      </c>
      <c r="AH34" s="189">
        <f t="shared" si="5"/>
        <v>79852.655903324165</v>
      </c>
      <c r="AI34" s="189">
        <f t="shared" si="5"/>
        <v>59382.895412973368</v>
      </c>
      <c r="AJ34" s="189">
        <f t="shared" si="5"/>
        <v>79852.655903324165</v>
      </c>
      <c r="AK34" s="189">
        <f t="shared" si="5"/>
        <v>59446.809749961234</v>
      </c>
      <c r="AL34" s="189">
        <f t="shared" si="5"/>
        <v>79852.655903324165</v>
      </c>
      <c r="AM34" s="189">
        <f t="shared" si="5"/>
        <v>59458.801723395489</v>
      </c>
      <c r="AN34" s="189">
        <f t="shared" si="5"/>
        <v>79852.655903324165</v>
      </c>
    </row>
    <row r="35" spans="2:40" ht="14.25" x14ac:dyDescent="0.2">
      <c r="B35" s="188">
        <v>19</v>
      </c>
      <c r="C35" s="187" t="s">
        <v>329</v>
      </c>
      <c r="D35" s="190"/>
      <c r="E35" s="189"/>
      <c r="F35" s="189"/>
      <c r="G35" s="189"/>
      <c r="H35" s="189"/>
      <c r="I35" s="189"/>
      <c r="J35" s="189"/>
      <c r="K35" s="192"/>
      <c r="L35" s="192"/>
      <c r="M35" s="192"/>
      <c r="N35" s="192"/>
      <c r="O35" s="192"/>
      <c r="P35" s="192"/>
      <c r="Q35" s="192"/>
      <c r="R35" s="192"/>
      <c r="S35" s="192"/>
      <c r="T35" s="192"/>
      <c r="U35" s="192"/>
      <c r="V35" s="192"/>
      <c r="W35" s="202"/>
      <c r="X35" s="202"/>
      <c r="Y35" s="202"/>
      <c r="Z35" s="202"/>
      <c r="AA35" s="202"/>
      <c r="AB35" s="202"/>
      <c r="AC35" s="202"/>
      <c r="AD35" s="202"/>
      <c r="AE35" s="202"/>
      <c r="AF35" s="202"/>
      <c r="AG35" s="202"/>
      <c r="AH35" s="202"/>
      <c r="AI35" s="202"/>
      <c r="AJ35" s="202"/>
      <c r="AK35" s="202"/>
      <c r="AL35" s="202"/>
      <c r="AM35" s="202"/>
      <c r="AN35" s="202"/>
    </row>
    <row r="36" spans="2:40" ht="14.25" x14ac:dyDescent="0.2">
      <c r="B36" s="188">
        <v>20</v>
      </c>
      <c r="C36" s="187" t="s">
        <v>445</v>
      </c>
      <c r="D36" s="190" t="s">
        <v>444</v>
      </c>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98"/>
      <c r="AD36" s="198"/>
      <c r="AE36" s="198"/>
      <c r="AF36" s="198"/>
      <c r="AG36" s="198"/>
      <c r="AH36" s="198"/>
      <c r="AI36" s="198"/>
      <c r="AJ36" s="198"/>
      <c r="AK36" s="198"/>
      <c r="AL36" s="198"/>
      <c r="AM36" s="198"/>
      <c r="AN36" s="198"/>
    </row>
    <row r="37" spans="2:40" ht="15" x14ac:dyDescent="0.2">
      <c r="B37" s="184" t="s">
        <v>331</v>
      </c>
      <c r="C37" s="185" t="s">
        <v>332</v>
      </c>
      <c r="D37" s="190"/>
      <c r="E37" s="189"/>
      <c r="F37" s="189"/>
      <c r="G37" s="189"/>
      <c r="H37" s="189"/>
      <c r="I37" s="189"/>
      <c r="J37" s="189"/>
      <c r="K37" s="192"/>
      <c r="L37" s="192"/>
      <c r="M37" s="192"/>
      <c r="N37" s="192"/>
      <c r="O37" s="192"/>
      <c r="P37" s="192"/>
      <c r="Q37" s="192"/>
      <c r="R37" s="192"/>
      <c r="S37" s="192"/>
      <c r="T37" s="192"/>
      <c r="U37" s="192"/>
      <c r="V37" s="192"/>
      <c r="W37" s="202"/>
      <c r="X37" s="202"/>
      <c r="Y37" s="202"/>
      <c r="Z37" s="202"/>
      <c r="AA37" s="202"/>
      <c r="AB37" s="202"/>
      <c r="AC37" s="202"/>
      <c r="AD37" s="202"/>
      <c r="AE37" s="202"/>
      <c r="AF37" s="202"/>
      <c r="AG37" s="202"/>
      <c r="AH37" s="202"/>
      <c r="AI37" s="202"/>
      <c r="AJ37" s="202"/>
      <c r="AK37" s="202"/>
      <c r="AL37" s="202"/>
      <c r="AM37" s="202"/>
      <c r="AN37" s="202"/>
    </row>
    <row r="38" spans="2:40" ht="14.25" x14ac:dyDescent="0.2">
      <c r="B38" s="188">
        <v>21</v>
      </c>
      <c r="C38" s="187" t="s">
        <v>446</v>
      </c>
      <c r="D38" s="190" t="s">
        <v>447</v>
      </c>
      <c r="E38" s="189"/>
      <c r="F38" s="189"/>
      <c r="G38" s="189"/>
      <c r="H38" s="189"/>
      <c r="I38" s="189"/>
      <c r="J38" s="189"/>
      <c r="K38" s="192"/>
      <c r="L38" s="192"/>
      <c r="M38" s="192"/>
      <c r="N38" s="192"/>
      <c r="O38" s="192"/>
      <c r="P38" s="192"/>
      <c r="Q38" s="192"/>
      <c r="R38" s="192"/>
      <c r="S38" s="192"/>
      <c r="T38" s="192"/>
      <c r="U38" s="192"/>
      <c r="V38" s="192"/>
      <c r="W38" s="202"/>
      <c r="X38" s="202"/>
      <c r="Y38" s="202"/>
      <c r="Z38" s="202"/>
      <c r="AA38" s="202"/>
      <c r="AB38" s="202"/>
      <c r="AC38" s="202"/>
      <c r="AD38" s="202"/>
      <c r="AE38" s="202"/>
      <c r="AF38" s="202"/>
      <c r="AG38" s="202"/>
      <c r="AH38" s="202"/>
      <c r="AI38" s="202"/>
      <c r="AJ38" s="202"/>
      <c r="AK38" s="202"/>
      <c r="AL38" s="202"/>
      <c r="AM38" s="202"/>
      <c r="AN38" s="202"/>
    </row>
    <row r="39" spans="2:40" ht="14.25" x14ac:dyDescent="0.2">
      <c r="B39" s="188">
        <v>22</v>
      </c>
      <c r="C39" s="187" t="s">
        <v>448</v>
      </c>
      <c r="D39" s="190" t="s">
        <v>447</v>
      </c>
      <c r="E39" s="189"/>
      <c r="F39" s="189"/>
      <c r="G39" s="189"/>
      <c r="H39" s="189"/>
      <c r="I39" s="189"/>
      <c r="J39" s="189"/>
      <c r="K39" s="192"/>
      <c r="L39" s="192"/>
      <c r="M39" s="192"/>
      <c r="N39" s="192"/>
      <c r="O39" s="192"/>
      <c r="P39" s="192"/>
      <c r="Q39" s="192"/>
      <c r="R39" s="192"/>
      <c r="S39" s="192"/>
      <c r="T39" s="192"/>
      <c r="U39" s="192"/>
      <c r="V39" s="192"/>
      <c r="W39" s="202"/>
      <c r="X39" s="202"/>
      <c r="Y39" s="202"/>
      <c r="Z39" s="202"/>
      <c r="AA39" s="202"/>
      <c r="AB39" s="202"/>
      <c r="AC39" s="202"/>
      <c r="AD39" s="202"/>
      <c r="AE39" s="202"/>
      <c r="AF39" s="202"/>
      <c r="AG39" s="202"/>
      <c r="AH39" s="202"/>
      <c r="AI39" s="202"/>
      <c r="AJ39" s="202"/>
      <c r="AK39" s="202"/>
      <c r="AL39" s="202"/>
      <c r="AM39" s="202"/>
      <c r="AN39" s="202"/>
    </row>
    <row r="40" spans="2:40" ht="14.25" x14ac:dyDescent="0.2">
      <c r="B40" s="188">
        <v>23</v>
      </c>
      <c r="C40" s="187" t="s">
        <v>449</v>
      </c>
      <c r="D40" s="190" t="s">
        <v>447</v>
      </c>
      <c r="E40" s="189"/>
      <c r="F40" s="189"/>
      <c r="G40" s="189"/>
      <c r="H40" s="189"/>
      <c r="I40" s="189"/>
      <c r="J40" s="189"/>
      <c r="K40" s="192"/>
      <c r="L40" s="192"/>
      <c r="M40" s="192"/>
      <c r="N40" s="192"/>
      <c r="O40" s="192"/>
      <c r="P40" s="192"/>
      <c r="Q40" s="192"/>
      <c r="R40" s="192"/>
      <c r="S40" s="192"/>
      <c r="T40" s="192"/>
      <c r="U40" s="192"/>
      <c r="V40" s="192"/>
      <c r="W40" s="202"/>
      <c r="X40" s="202"/>
      <c r="Y40" s="202"/>
      <c r="Z40" s="202"/>
      <c r="AA40" s="202"/>
      <c r="AB40" s="202"/>
      <c r="AC40" s="202"/>
      <c r="AD40" s="202"/>
      <c r="AE40" s="202"/>
      <c r="AF40" s="202"/>
      <c r="AG40" s="202"/>
      <c r="AH40" s="202"/>
      <c r="AI40" s="202"/>
      <c r="AJ40" s="202"/>
      <c r="AK40" s="202"/>
      <c r="AL40" s="202"/>
      <c r="AM40" s="202"/>
      <c r="AN40" s="202"/>
    </row>
    <row r="41" spans="2:40" ht="14.25" x14ac:dyDescent="0.2">
      <c r="B41" s="188">
        <v>24</v>
      </c>
      <c r="C41" s="187" t="s">
        <v>450</v>
      </c>
      <c r="D41" s="190" t="s">
        <v>447</v>
      </c>
      <c r="E41" s="189"/>
      <c r="F41" s="189"/>
      <c r="G41" s="189"/>
      <c r="H41" s="189"/>
      <c r="I41" s="189"/>
      <c r="J41" s="189"/>
      <c r="K41" s="192"/>
      <c r="L41" s="192"/>
      <c r="M41" s="192"/>
      <c r="N41" s="192"/>
      <c r="O41" s="192"/>
      <c r="P41" s="192"/>
      <c r="Q41" s="192"/>
      <c r="R41" s="192"/>
      <c r="S41" s="192"/>
      <c r="T41" s="192"/>
      <c r="U41" s="192"/>
      <c r="V41" s="192"/>
      <c r="W41" s="202"/>
      <c r="X41" s="202"/>
      <c r="Y41" s="202"/>
      <c r="Z41" s="202"/>
      <c r="AA41" s="202"/>
      <c r="AB41" s="202"/>
      <c r="AC41" s="202"/>
      <c r="AD41" s="202"/>
      <c r="AE41" s="202"/>
      <c r="AF41" s="202"/>
      <c r="AG41" s="202"/>
      <c r="AH41" s="202"/>
      <c r="AI41" s="202"/>
      <c r="AJ41" s="202"/>
      <c r="AK41" s="202"/>
      <c r="AL41" s="202"/>
      <c r="AM41" s="202"/>
      <c r="AN41" s="202"/>
    </row>
    <row r="42" spans="2:40" ht="14.25" x14ac:dyDescent="0.2">
      <c r="B42" s="188">
        <v>25</v>
      </c>
      <c r="C42" s="187" t="s">
        <v>451</v>
      </c>
      <c r="D42" s="190" t="s">
        <v>447</v>
      </c>
      <c r="E42" s="189"/>
      <c r="F42" s="189"/>
      <c r="G42" s="189"/>
      <c r="H42" s="189"/>
      <c r="I42" s="189"/>
      <c r="J42" s="189"/>
      <c r="K42" s="192"/>
      <c r="L42" s="192"/>
      <c r="M42" s="192"/>
      <c r="N42" s="192"/>
      <c r="O42" s="192"/>
      <c r="P42" s="192"/>
      <c r="Q42" s="192"/>
      <c r="R42" s="192"/>
      <c r="S42" s="192"/>
      <c r="T42" s="192"/>
      <c r="U42" s="192"/>
      <c r="V42" s="192"/>
      <c r="W42" s="202"/>
      <c r="X42" s="202"/>
      <c r="Y42" s="202"/>
      <c r="Z42" s="202"/>
      <c r="AA42" s="202"/>
      <c r="AB42" s="202"/>
      <c r="AC42" s="202"/>
      <c r="AD42" s="202"/>
      <c r="AE42" s="202"/>
      <c r="AF42" s="202"/>
      <c r="AG42" s="202"/>
      <c r="AH42" s="202"/>
      <c r="AI42" s="202"/>
      <c r="AJ42" s="202"/>
      <c r="AK42" s="202"/>
      <c r="AL42" s="202"/>
      <c r="AM42" s="202"/>
      <c r="AN42" s="202"/>
    </row>
    <row r="43" spans="2:40" ht="14.25" x14ac:dyDescent="0.2">
      <c r="B43" s="188">
        <v>26</v>
      </c>
      <c r="C43" s="187" t="s">
        <v>452</v>
      </c>
      <c r="D43" s="190" t="s">
        <v>447</v>
      </c>
      <c r="E43" s="189"/>
      <c r="F43" s="189"/>
      <c r="G43" s="189"/>
      <c r="H43" s="189"/>
      <c r="I43" s="189"/>
      <c r="J43" s="189"/>
      <c r="K43" s="192"/>
      <c r="L43" s="192"/>
      <c r="M43" s="192"/>
      <c r="N43" s="192"/>
      <c r="O43" s="192"/>
      <c r="P43" s="192"/>
      <c r="Q43" s="192"/>
      <c r="R43" s="192"/>
      <c r="S43" s="192"/>
      <c r="T43" s="192"/>
      <c r="U43" s="192"/>
      <c r="V43" s="192"/>
      <c r="W43" s="202"/>
      <c r="X43" s="202"/>
      <c r="Y43" s="202"/>
      <c r="Z43" s="202"/>
      <c r="AA43" s="202"/>
      <c r="AB43" s="202"/>
      <c r="AC43" s="202"/>
      <c r="AD43" s="202"/>
      <c r="AE43" s="202"/>
      <c r="AF43" s="202"/>
      <c r="AG43" s="202"/>
      <c r="AH43" s="202"/>
      <c r="AI43" s="202"/>
      <c r="AJ43" s="202"/>
      <c r="AK43" s="202"/>
      <c r="AL43" s="202"/>
      <c r="AM43" s="202"/>
      <c r="AN43" s="202"/>
    </row>
    <row r="44" spans="2:40" ht="14.25" x14ac:dyDescent="0.2">
      <c r="B44" s="188">
        <v>27</v>
      </c>
      <c r="C44" s="187" t="s">
        <v>453</v>
      </c>
      <c r="D44" s="190" t="s">
        <v>447</v>
      </c>
      <c r="E44" s="189"/>
      <c r="F44" s="189"/>
      <c r="G44" s="189"/>
      <c r="H44" s="189"/>
      <c r="I44" s="189"/>
      <c r="J44" s="189"/>
      <c r="K44" s="192"/>
      <c r="L44" s="192"/>
      <c r="M44" s="192"/>
      <c r="N44" s="192"/>
      <c r="O44" s="192"/>
      <c r="P44" s="192"/>
      <c r="Q44" s="192"/>
      <c r="R44" s="192"/>
      <c r="S44" s="192"/>
      <c r="T44" s="192"/>
      <c r="U44" s="192"/>
      <c r="V44" s="192"/>
      <c r="W44" s="202"/>
      <c r="X44" s="202"/>
      <c r="Y44" s="202"/>
      <c r="Z44" s="202"/>
      <c r="AA44" s="202"/>
      <c r="AB44" s="202"/>
      <c r="AC44" s="202"/>
      <c r="AD44" s="202"/>
      <c r="AE44" s="202"/>
      <c r="AF44" s="202"/>
      <c r="AG44" s="202"/>
      <c r="AH44" s="202"/>
      <c r="AI44" s="202"/>
      <c r="AJ44" s="202"/>
      <c r="AK44" s="202"/>
      <c r="AL44" s="202"/>
      <c r="AM44" s="202"/>
      <c r="AN44" s="202"/>
    </row>
    <row r="45" spans="2:40" ht="14.25" x14ac:dyDescent="0.2">
      <c r="B45" s="188">
        <v>28</v>
      </c>
      <c r="C45" s="187" t="s">
        <v>454</v>
      </c>
      <c r="D45" s="190" t="s">
        <v>447</v>
      </c>
      <c r="E45" s="189"/>
      <c r="F45" s="189"/>
      <c r="G45" s="189"/>
      <c r="H45" s="189"/>
      <c r="I45" s="189"/>
      <c r="J45" s="189"/>
      <c r="K45" s="192"/>
      <c r="L45" s="192"/>
      <c r="M45" s="192"/>
      <c r="N45" s="192"/>
      <c r="O45" s="192"/>
      <c r="P45" s="192"/>
      <c r="Q45" s="192"/>
      <c r="R45" s="192"/>
      <c r="S45" s="192"/>
      <c r="T45" s="192"/>
      <c r="U45" s="192"/>
      <c r="V45" s="192"/>
      <c r="W45" s="202"/>
      <c r="X45" s="202"/>
      <c r="Y45" s="202"/>
      <c r="Z45" s="202"/>
      <c r="AA45" s="202"/>
      <c r="AB45" s="202"/>
      <c r="AC45" s="202"/>
      <c r="AD45" s="202"/>
      <c r="AE45" s="202"/>
      <c r="AF45" s="202"/>
      <c r="AG45" s="202"/>
      <c r="AH45" s="202"/>
      <c r="AI45" s="202"/>
      <c r="AJ45" s="202"/>
      <c r="AK45" s="202"/>
      <c r="AL45" s="202"/>
      <c r="AM45" s="202"/>
      <c r="AN45" s="202"/>
    </row>
    <row r="46" spans="2:40" ht="14.25" x14ac:dyDescent="0.2">
      <c r="B46" s="188">
        <v>29</v>
      </c>
      <c r="C46" s="187" t="s">
        <v>455</v>
      </c>
      <c r="D46" s="190" t="s">
        <v>447</v>
      </c>
      <c r="E46" s="189"/>
      <c r="F46" s="189"/>
      <c r="G46" s="189"/>
      <c r="H46" s="189"/>
      <c r="I46" s="189"/>
      <c r="J46" s="189"/>
      <c r="K46" s="192"/>
      <c r="L46" s="192"/>
      <c r="M46" s="192"/>
      <c r="N46" s="192"/>
      <c r="O46" s="192"/>
      <c r="P46" s="192"/>
      <c r="Q46" s="192"/>
      <c r="R46" s="192"/>
      <c r="S46" s="192"/>
      <c r="T46" s="192"/>
      <c r="U46" s="192"/>
      <c r="V46" s="192"/>
      <c r="W46" s="202"/>
      <c r="X46" s="202"/>
      <c r="Y46" s="202"/>
      <c r="Z46" s="202"/>
      <c r="AA46" s="202"/>
      <c r="AB46" s="202"/>
      <c r="AC46" s="202"/>
      <c r="AD46" s="202"/>
      <c r="AE46" s="202"/>
      <c r="AF46" s="202"/>
      <c r="AG46" s="202"/>
      <c r="AH46" s="202"/>
      <c r="AI46" s="202"/>
      <c r="AJ46" s="202"/>
      <c r="AK46" s="202"/>
      <c r="AL46" s="202"/>
      <c r="AM46" s="202"/>
      <c r="AN46" s="202"/>
    </row>
    <row r="47" spans="2:40" ht="14.25" x14ac:dyDescent="0.2">
      <c r="B47" s="188">
        <v>30</v>
      </c>
      <c r="C47" s="187" t="s">
        <v>456</v>
      </c>
      <c r="D47" s="190" t="s">
        <v>447</v>
      </c>
      <c r="E47" s="316">
        <v>9819</v>
      </c>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6"/>
      <c r="AK47" s="316"/>
      <c r="AL47" s="316"/>
      <c r="AM47" s="316"/>
      <c r="AN47" s="316"/>
    </row>
    <row r="49" spans="2:40" ht="15.75" thickBot="1" x14ac:dyDescent="0.25">
      <c r="B49" s="201" t="s">
        <v>242</v>
      </c>
    </row>
    <row r="50" spans="2:40" x14ac:dyDescent="0.2">
      <c r="B50" s="203"/>
      <c r="C50" s="204" t="s">
        <v>18</v>
      </c>
      <c r="D50" s="205"/>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6"/>
      <c r="AD50" s="206"/>
      <c r="AE50" s="206"/>
      <c r="AF50" s="206"/>
      <c r="AG50" s="206"/>
      <c r="AH50" s="206"/>
      <c r="AI50" s="206"/>
      <c r="AJ50" s="206"/>
      <c r="AK50" s="206"/>
      <c r="AL50" s="206"/>
      <c r="AM50" s="206"/>
      <c r="AN50" s="206"/>
    </row>
    <row r="51" spans="2:40" ht="14.25" x14ac:dyDescent="0.2">
      <c r="B51" s="207">
        <v>1</v>
      </c>
      <c r="C51" s="192" t="s">
        <v>482</v>
      </c>
      <c r="D51" s="208" t="s">
        <v>432</v>
      </c>
      <c r="E51" s="200">
        <v>158</v>
      </c>
      <c r="F51" s="200">
        <v>44</v>
      </c>
      <c r="G51" s="200">
        <v>82</v>
      </c>
      <c r="H51" s="200">
        <v>31</v>
      </c>
      <c r="I51" s="200">
        <v>103</v>
      </c>
      <c r="J51" s="200">
        <v>53</v>
      </c>
      <c r="K51" s="200">
        <v>78</v>
      </c>
      <c r="L51" s="200">
        <v>20</v>
      </c>
      <c r="M51" s="200">
        <v>84</v>
      </c>
      <c r="N51" s="200">
        <v>20</v>
      </c>
      <c r="O51" s="200">
        <v>165</v>
      </c>
      <c r="P51" s="200">
        <v>68</v>
      </c>
      <c r="Q51" s="200">
        <v>58</v>
      </c>
      <c r="R51" s="200">
        <v>21</v>
      </c>
      <c r="S51" s="200">
        <v>110</v>
      </c>
      <c r="T51" s="200">
        <v>37</v>
      </c>
      <c r="U51" s="200">
        <v>171</v>
      </c>
      <c r="V51" s="200">
        <v>41</v>
      </c>
      <c r="W51" s="200">
        <v>21</v>
      </c>
      <c r="X51" s="200">
        <v>0</v>
      </c>
      <c r="Y51" s="200">
        <v>135</v>
      </c>
      <c r="Z51" s="200">
        <v>52</v>
      </c>
      <c r="AA51" s="200">
        <v>19</v>
      </c>
      <c r="AB51" s="200">
        <v>12</v>
      </c>
      <c r="AC51" s="197">
        <v>403</v>
      </c>
      <c r="AD51" s="197">
        <v>72</v>
      </c>
      <c r="AE51" s="197">
        <v>47</v>
      </c>
      <c r="AF51" s="197">
        <v>0</v>
      </c>
      <c r="AG51" s="197">
        <v>72</v>
      </c>
      <c r="AH51" s="197">
        <v>28</v>
      </c>
      <c r="AI51" s="197">
        <v>230</v>
      </c>
      <c r="AJ51" s="197">
        <v>35</v>
      </c>
      <c r="AK51" s="197">
        <v>276</v>
      </c>
      <c r="AL51" s="197">
        <v>32</v>
      </c>
      <c r="AM51" s="197">
        <v>182</v>
      </c>
      <c r="AN51" s="197">
        <v>34</v>
      </c>
    </row>
    <row r="52" spans="2:40" x14ac:dyDescent="0.2">
      <c r="B52" s="207">
        <v>2</v>
      </c>
      <c r="C52" s="192" t="s">
        <v>483</v>
      </c>
      <c r="D52" s="190" t="s">
        <v>433</v>
      </c>
      <c r="E52" s="200">
        <v>0.9162191813085141</v>
      </c>
      <c r="F52" s="200">
        <v>0.39504747645423111</v>
      </c>
      <c r="G52" s="200">
        <v>0.47550615738796287</v>
      </c>
      <c r="H52" s="200">
        <v>0.27832890386548104</v>
      </c>
      <c r="I52" s="200">
        <v>0.5972821245239045</v>
      </c>
      <c r="J52" s="200">
        <v>0.47585264209259653</v>
      </c>
      <c r="K52" s="200">
        <v>0.45231073507635489</v>
      </c>
      <c r="L52" s="200">
        <v>0.17956703475192323</v>
      </c>
      <c r="M52" s="200">
        <v>0.4871038685437668</v>
      </c>
      <c r="N52" s="200">
        <v>0.17666046934346039</v>
      </c>
      <c r="O52" s="200">
        <v>0.95681117035382768</v>
      </c>
      <c r="P52" s="200">
        <v>0.58353288779593748</v>
      </c>
      <c r="Q52" s="200">
        <v>0.33633362351831519</v>
      </c>
      <c r="R52" s="200">
        <v>0.18020868593698067</v>
      </c>
      <c r="S52" s="200">
        <v>0.63787411356921841</v>
      </c>
      <c r="T52" s="200">
        <v>0.31136463345301513</v>
      </c>
      <c r="U52" s="200">
        <v>0.99379192218789847</v>
      </c>
      <c r="V52" s="200">
        <v>0.34074831494233193</v>
      </c>
      <c r="W52" s="200">
        <v>0.12204462202307526</v>
      </c>
      <c r="X52" s="200">
        <v>0</v>
      </c>
      <c r="Y52" s="200">
        <v>0.79423805745601883</v>
      </c>
      <c r="Z52" s="200">
        <v>0.42960200589631692</v>
      </c>
      <c r="AA52" s="200">
        <v>0.11233860602597824</v>
      </c>
      <c r="AB52" s="200">
        <v>9.6647028708277335E-2</v>
      </c>
      <c r="AC52" s="197">
        <v>2.3814022322143598</v>
      </c>
      <c r="AD52" s="197">
        <v>0.57493912250393375</v>
      </c>
      <c r="AE52" s="197">
        <v>0.27773177398033477</v>
      </c>
      <c r="AF52" s="197">
        <v>0</v>
      </c>
      <c r="AG52" s="197">
        <v>0.42701711016250149</v>
      </c>
      <c r="AH52" s="197">
        <v>0.22358743652930768</v>
      </c>
      <c r="AI52" s="197">
        <v>1.3658065944983875</v>
      </c>
      <c r="AJ52" s="197">
        <v>0.27948429566163457</v>
      </c>
      <c r="AK52" s="197">
        <v>1.6407319490989301</v>
      </c>
      <c r="AL52" s="197">
        <v>0.25552849889063733</v>
      </c>
      <c r="AM52" s="197">
        <v>1.0821501913657978</v>
      </c>
      <c r="AN52" s="197">
        <v>0.27149903007130216</v>
      </c>
    </row>
    <row r="53" spans="2:40" ht="15" thickBot="1" x14ac:dyDescent="0.25">
      <c r="B53" s="209">
        <v>3</v>
      </c>
      <c r="C53" s="210" t="s">
        <v>484</v>
      </c>
      <c r="D53" s="211" t="s">
        <v>444</v>
      </c>
      <c r="E53" s="314">
        <v>64914.190978353727</v>
      </c>
      <c r="F53" s="315"/>
      <c r="G53" s="314">
        <v>66711.067367561409</v>
      </c>
      <c r="H53" s="315"/>
      <c r="I53" s="314">
        <v>68790.690167724417</v>
      </c>
      <c r="J53" s="315"/>
      <c r="K53" s="314">
        <v>64477.323451865115</v>
      </c>
      <c r="L53" s="315"/>
      <c r="M53" s="314">
        <v>63823.494027618006</v>
      </c>
      <c r="N53" s="315"/>
      <c r="O53" s="314">
        <v>66109.187045054307</v>
      </c>
      <c r="P53" s="315"/>
      <c r="Q53" s="314">
        <v>65385.102462695679</v>
      </c>
      <c r="R53" s="315"/>
      <c r="S53" s="314">
        <v>64574.06442328119</v>
      </c>
      <c r="T53" s="315"/>
      <c r="U53" s="314">
        <v>62950.011185388226</v>
      </c>
      <c r="V53" s="315"/>
      <c r="W53" s="314">
        <v>58116.486677654888</v>
      </c>
      <c r="X53" s="315"/>
      <c r="Y53" s="314">
        <v>65445.992692638283</v>
      </c>
      <c r="Z53" s="315"/>
      <c r="AA53" s="314">
        <v>67414.720882017937</v>
      </c>
      <c r="AB53" s="315"/>
      <c r="AC53" s="314">
        <v>62238.765362490391</v>
      </c>
      <c r="AD53" s="315"/>
      <c r="AE53" s="314">
        <v>59091.86680432655</v>
      </c>
      <c r="AF53" s="315"/>
      <c r="AG53" s="314">
        <v>65060.454669180916</v>
      </c>
      <c r="AH53" s="315"/>
      <c r="AI53" s="314">
        <v>62086.448685283845</v>
      </c>
      <c r="AJ53" s="315"/>
      <c r="AK53" s="314">
        <v>61566.897661998941</v>
      </c>
      <c r="AL53" s="315"/>
      <c r="AM53" s="314">
        <v>62668.945436902781</v>
      </c>
      <c r="AN53" s="315"/>
    </row>
  </sheetData>
  <mergeCells count="43">
    <mergeCell ref="AI53:AJ53"/>
    <mergeCell ref="AK53:AL53"/>
    <mergeCell ref="AM53:AN53"/>
    <mergeCell ref="E47:AN47"/>
    <mergeCell ref="E53:F53"/>
    <mergeCell ref="G53:H53"/>
    <mergeCell ref="I53:J53"/>
    <mergeCell ref="K53:L53"/>
    <mergeCell ref="M53:N53"/>
    <mergeCell ref="O53:P53"/>
    <mergeCell ref="Q53:R53"/>
    <mergeCell ref="S53:T53"/>
    <mergeCell ref="U53:V53"/>
    <mergeCell ref="W53:X53"/>
    <mergeCell ref="Y53:Z53"/>
    <mergeCell ref="AA53:AB53"/>
    <mergeCell ref="AC53:AD53"/>
    <mergeCell ref="AE53:AF53"/>
    <mergeCell ref="AG53:AH53"/>
    <mergeCell ref="AE6:AF6"/>
    <mergeCell ref="AG6:AH6"/>
    <mergeCell ref="AI6:AJ6"/>
    <mergeCell ref="AK6:AL6"/>
    <mergeCell ref="AM6:AN6"/>
    <mergeCell ref="U6:V6"/>
    <mergeCell ref="W6:X6"/>
    <mergeCell ref="Y6:Z6"/>
    <mergeCell ref="AA6:AB6"/>
    <mergeCell ref="AC6:AD6"/>
    <mergeCell ref="B6:B7"/>
    <mergeCell ref="C6:C7"/>
    <mergeCell ref="B2:V2"/>
    <mergeCell ref="B3:V3"/>
    <mergeCell ref="B4:V4"/>
    <mergeCell ref="D6:D7"/>
    <mergeCell ref="E6:F6"/>
    <mergeCell ref="G6:H6"/>
    <mergeCell ref="I6:J6"/>
    <mergeCell ref="K6:L6"/>
    <mergeCell ref="M6:N6"/>
    <mergeCell ref="O6:P6"/>
    <mergeCell ref="Q6:R6"/>
    <mergeCell ref="S6:T6"/>
  </mergeCells>
  <pageMargins left="0.25" right="0.2" top="0.25" bottom="0.25" header="0.3" footer="0.3"/>
  <pageSetup paperSize="9" scale="75" fitToWidth="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showGridLines="0" view="pageBreakPreview" topLeftCell="B1" zoomScaleNormal="91" zoomScaleSheetLayoutView="100" workbookViewId="0">
      <selection activeCell="B4" sqref="B4:K4"/>
    </sheetView>
  </sheetViews>
  <sheetFormatPr defaultColWidth="9.28515625" defaultRowHeight="14.25" x14ac:dyDescent="0.2"/>
  <cols>
    <col min="1" max="1" width="2.42578125" style="85" customWidth="1"/>
    <col min="2" max="2" width="31.7109375" style="85" customWidth="1"/>
    <col min="3" max="3" width="8.42578125" style="85" customWidth="1"/>
    <col min="4" max="4" width="9.28515625" style="85" customWidth="1"/>
    <col min="5" max="5" width="12" style="85" customWidth="1"/>
    <col min="6" max="6" width="9.28515625" style="85" customWidth="1"/>
    <col min="7" max="7" width="11.140625" style="85" customWidth="1"/>
    <col min="8" max="8" width="11.42578125" style="85" customWidth="1"/>
    <col min="9" max="9" width="9.5703125" style="85" customWidth="1"/>
    <col min="10" max="10" width="11.7109375" style="85" customWidth="1"/>
    <col min="11" max="11" width="12.28515625" style="85" customWidth="1"/>
    <col min="12" max="16384" width="9.28515625" style="85"/>
  </cols>
  <sheetData>
    <row r="2" spans="2:11" ht="14.25" customHeight="1" x14ac:dyDescent="0.2">
      <c r="B2" s="279" t="s">
        <v>403</v>
      </c>
      <c r="C2" s="279"/>
      <c r="D2" s="279"/>
      <c r="E2" s="279"/>
      <c r="F2" s="279"/>
      <c r="G2" s="279"/>
      <c r="H2" s="279"/>
      <c r="I2" s="279"/>
      <c r="J2" s="279"/>
      <c r="K2" s="279"/>
    </row>
    <row r="3" spans="2:11" ht="14.25" customHeight="1" x14ac:dyDescent="0.2">
      <c r="B3" s="279" t="str">
        <f>'F1'!$B$3</f>
        <v>BTPS</v>
      </c>
      <c r="C3" s="279"/>
      <c r="D3" s="279"/>
      <c r="E3" s="279"/>
      <c r="F3" s="279"/>
      <c r="G3" s="279"/>
      <c r="H3" s="279"/>
      <c r="I3" s="279"/>
      <c r="J3" s="279"/>
      <c r="K3" s="279"/>
    </row>
    <row r="4" spans="2:11" ht="14.25" customHeight="1" x14ac:dyDescent="0.2">
      <c r="B4" s="279" t="s">
        <v>346</v>
      </c>
      <c r="C4" s="279"/>
      <c r="D4" s="279"/>
      <c r="E4" s="279"/>
      <c r="F4" s="279"/>
      <c r="G4" s="279"/>
      <c r="H4" s="279"/>
      <c r="I4" s="279"/>
      <c r="J4" s="279"/>
      <c r="K4" s="279"/>
    </row>
    <row r="5" spans="2:11" ht="10.5" customHeight="1" x14ac:dyDescent="0.2"/>
    <row r="6" spans="2:11" ht="15" x14ac:dyDescent="0.2">
      <c r="B6" s="317" t="s">
        <v>18</v>
      </c>
      <c r="C6" s="317" t="s">
        <v>209</v>
      </c>
      <c r="D6" s="317" t="s">
        <v>39</v>
      </c>
      <c r="E6" s="290" t="s">
        <v>404</v>
      </c>
      <c r="F6" s="291"/>
      <c r="G6" s="292"/>
      <c r="H6" s="290" t="s">
        <v>405</v>
      </c>
      <c r="I6" s="292"/>
      <c r="J6" s="290" t="s">
        <v>467</v>
      </c>
      <c r="K6" s="292"/>
    </row>
    <row r="7" spans="2:11" ht="39" customHeight="1" x14ac:dyDescent="0.2">
      <c r="B7" s="317"/>
      <c r="C7" s="317"/>
      <c r="D7" s="317"/>
      <c r="E7" s="15" t="s">
        <v>370</v>
      </c>
      <c r="F7" s="15" t="s">
        <v>240</v>
      </c>
      <c r="G7" s="15" t="s">
        <v>208</v>
      </c>
      <c r="H7" s="15" t="s">
        <v>395</v>
      </c>
      <c r="I7" s="15" t="s">
        <v>239</v>
      </c>
      <c r="J7" s="15" t="s">
        <v>395</v>
      </c>
      <c r="K7" s="15" t="s">
        <v>229</v>
      </c>
    </row>
    <row r="8" spans="2:11" ht="30" x14ac:dyDescent="0.2">
      <c r="B8" s="317"/>
      <c r="C8" s="317"/>
      <c r="D8" s="317"/>
      <c r="E8" s="15" t="s">
        <v>10</v>
      </c>
      <c r="F8" s="15" t="s">
        <v>12</v>
      </c>
      <c r="G8" s="15" t="s">
        <v>231</v>
      </c>
      <c r="H8" s="15" t="s">
        <v>10</v>
      </c>
      <c r="I8" s="15" t="s">
        <v>5</v>
      </c>
      <c r="J8" s="15" t="s">
        <v>10</v>
      </c>
      <c r="K8" s="15" t="s">
        <v>8</v>
      </c>
    </row>
    <row r="9" spans="2:11" x14ac:dyDescent="0.2">
      <c r="B9" s="90" t="s">
        <v>171</v>
      </c>
      <c r="C9" s="93" t="s">
        <v>353</v>
      </c>
      <c r="D9" s="93" t="s">
        <v>42</v>
      </c>
      <c r="E9" s="28">
        <v>8.5</v>
      </c>
      <c r="F9" s="101">
        <f>'F10'!F28</f>
        <v>9.9652471040972248</v>
      </c>
      <c r="G9" s="101">
        <f>'F10'!F28</f>
        <v>9.9652471040972248</v>
      </c>
      <c r="H9" s="101">
        <v>8.5</v>
      </c>
      <c r="I9" s="28">
        <v>8.5</v>
      </c>
      <c r="J9" s="28">
        <v>8.5</v>
      </c>
      <c r="K9" s="28">
        <v>8.5</v>
      </c>
    </row>
    <row r="10" spans="2:11" x14ac:dyDescent="0.2">
      <c r="B10" s="91" t="s">
        <v>207</v>
      </c>
      <c r="C10" s="94" t="s">
        <v>363</v>
      </c>
      <c r="D10" s="94" t="s">
        <v>49</v>
      </c>
      <c r="E10" s="28">
        <v>2318.4</v>
      </c>
      <c r="F10" s="101">
        <f>'F10'!F34</f>
        <v>2379.1888103090446</v>
      </c>
      <c r="G10" s="101">
        <f>F10</f>
        <v>2379.1888103090446</v>
      </c>
      <c r="H10" s="28">
        <v>2318.4</v>
      </c>
      <c r="I10" s="28">
        <v>2318.4</v>
      </c>
      <c r="J10" s="28">
        <v>2318.4</v>
      </c>
      <c r="K10" s="28">
        <v>2318.4</v>
      </c>
    </row>
    <row r="11" spans="2:11" x14ac:dyDescent="0.2">
      <c r="B11" s="90" t="s">
        <v>347</v>
      </c>
      <c r="C11" s="93" t="s">
        <v>354</v>
      </c>
      <c r="D11" s="93" t="s">
        <v>51</v>
      </c>
      <c r="E11" s="28">
        <v>0.5</v>
      </c>
      <c r="F11" s="101">
        <f>'F10'!F38</f>
        <v>0.29309219390289482</v>
      </c>
      <c r="G11" s="101">
        <f>'F10'!F38</f>
        <v>0.29309219390289482</v>
      </c>
      <c r="H11" s="140">
        <f t="shared" ref="H11:H16" si="0">I11</f>
        <v>0.5</v>
      </c>
      <c r="I11" s="140">
        <v>0.5</v>
      </c>
      <c r="J11" s="140">
        <f t="shared" ref="J11:J16" si="1">H11</f>
        <v>0.5</v>
      </c>
      <c r="K11" s="140">
        <f t="shared" ref="K11:K16" si="2">I11</f>
        <v>0.5</v>
      </c>
    </row>
    <row r="12" spans="2:11" x14ac:dyDescent="0.2">
      <c r="B12" s="90" t="s">
        <v>348</v>
      </c>
      <c r="C12" s="93" t="s">
        <v>355</v>
      </c>
      <c r="D12" s="93" t="s">
        <v>356</v>
      </c>
      <c r="E12" s="103">
        <f>F12</f>
        <v>9819</v>
      </c>
      <c r="F12" s="103">
        <v>9819</v>
      </c>
      <c r="G12" s="103">
        <f t="shared" ref="G12:G16" si="3">F12</f>
        <v>9819</v>
      </c>
      <c r="H12" s="103">
        <f t="shared" si="0"/>
        <v>9819</v>
      </c>
      <c r="I12" s="103">
        <v>9819</v>
      </c>
      <c r="J12" s="103">
        <f t="shared" si="1"/>
        <v>9819</v>
      </c>
      <c r="K12" s="103">
        <f t="shared" si="2"/>
        <v>9819</v>
      </c>
    </row>
    <row r="13" spans="2:11" x14ac:dyDescent="0.2">
      <c r="B13" s="90" t="s">
        <v>349</v>
      </c>
      <c r="C13" s="93" t="s">
        <v>357</v>
      </c>
      <c r="D13" s="93" t="s">
        <v>358</v>
      </c>
      <c r="E13" s="101">
        <v>6.5249661740243131E-2</v>
      </c>
      <c r="F13" s="101">
        <f>65249.6617402431/1000000</f>
        <v>6.5249661740243103E-2</v>
      </c>
      <c r="G13" s="101">
        <f t="shared" si="3"/>
        <v>6.5249661740243103E-2</v>
      </c>
      <c r="H13" s="101">
        <f t="shared" si="0"/>
        <v>6.1544178317991603E-2</v>
      </c>
      <c r="I13" s="101">
        <f>61544.1783179916/1000000</f>
        <v>6.1544178317991603E-2</v>
      </c>
      <c r="J13" s="101">
        <f>K13</f>
        <v>6.3536390251114391E-2</v>
      </c>
      <c r="K13" s="101">
        <f>63536.3902511144/1000000</f>
        <v>6.3536390251114391E-2</v>
      </c>
    </row>
    <row r="14" spans="2:11" x14ac:dyDescent="0.2">
      <c r="B14" s="90" t="s">
        <v>364</v>
      </c>
      <c r="C14" s="93" t="s">
        <v>359</v>
      </c>
      <c r="D14" s="93" t="s">
        <v>333</v>
      </c>
      <c r="E14" s="103">
        <v>3147.5808000000002</v>
      </c>
      <c r="F14" s="103">
        <f>E14</f>
        <v>3147.5808000000002</v>
      </c>
      <c r="G14" s="103">
        <f>F14</f>
        <v>3147.5808000000002</v>
      </c>
      <c r="H14" s="103">
        <f>I14</f>
        <v>3306.36621312643</v>
      </c>
      <c r="I14" s="103">
        <v>3306.36621312643</v>
      </c>
      <c r="J14" s="103">
        <f>K14</f>
        <v>3247.9992134887152</v>
      </c>
      <c r="K14" s="103">
        <v>3247.9992134887152</v>
      </c>
    </row>
    <row r="15" spans="2:11" x14ac:dyDescent="0.2">
      <c r="B15" s="90" t="s">
        <v>350</v>
      </c>
      <c r="C15" s="93" t="s">
        <v>360</v>
      </c>
      <c r="D15" s="93" t="s">
        <v>361</v>
      </c>
      <c r="E15" s="101">
        <v>4.694874690129426</v>
      </c>
      <c r="F15" s="101">
        <f>4694.87469012943/1000</f>
        <v>4.6948746901294296</v>
      </c>
      <c r="G15" s="101">
        <f t="shared" si="3"/>
        <v>4.6948746901294296</v>
      </c>
      <c r="H15" s="101">
        <f>I15</f>
        <v>4.9015892943134105</v>
      </c>
      <c r="I15" s="101">
        <f>4901.58929431341/1000</f>
        <v>4.9015892943134105</v>
      </c>
      <c r="J15" s="101">
        <f>K15</f>
        <v>4.67867944496974</v>
      </c>
      <c r="K15" s="101">
        <f>4678.67944496974/1000</f>
        <v>4.67867944496974</v>
      </c>
    </row>
    <row r="16" spans="2:11" x14ac:dyDescent="0.2">
      <c r="B16" s="90" t="s">
        <v>351</v>
      </c>
      <c r="C16" s="93"/>
      <c r="D16" s="93" t="s">
        <v>362</v>
      </c>
      <c r="E16" s="101">
        <f>(E10-(E11*E12/1000))/E14</f>
        <v>0.73500591311269903</v>
      </c>
      <c r="F16" s="101">
        <f>(F10-(F11*F12/1000))/F14</f>
        <v>0.75496423731429296</v>
      </c>
      <c r="G16" s="101">
        <f t="shared" si="3"/>
        <v>0.75496423731429296</v>
      </c>
      <c r="H16" s="101">
        <f t="shared" si="0"/>
        <v>0.69970788196883127</v>
      </c>
      <c r="I16" s="101">
        <f>(I10-(I11*I12/1000))/I14</f>
        <v>0.69970788196883127</v>
      </c>
      <c r="J16" s="101">
        <f t="shared" si="1"/>
        <v>0.69970788196883127</v>
      </c>
      <c r="K16" s="101">
        <f t="shared" si="2"/>
        <v>0.69970788196883127</v>
      </c>
    </row>
    <row r="17" spans="2:11" ht="15" x14ac:dyDescent="0.2">
      <c r="B17" s="90" t="s">
        <v>408</v>
      </c>
      <c r="C17" s="93"/>
      <c r="D17" s="92" t="s">
        <v>204</v>
      </c>
      <c r="E17" s="142">
        <f>IFERROR(((E10-E11*E12/1000)*E15/E14)*100/(100-E9),0)</f>
        <v>3.7713231241183376</v>
      </c>
      <c r="F17" s="142">
        <f>IFERROR(((F10-F11*F12/1000)*F15/F14)*100/(100-F9),0)</f>
        <v>3.9367714973548185</v>
      </c>
      <c r="G17" s="142">
        <f>IFERROR(((G10-G11*G12/1000)*G15/G14)*100/(100-G9),0)</f>
        <v>3.9367714973548185</v>
      </c>
      <c r="H17" s="142">
        <f t="shared" ref="H17:K17" si="4">ROUND(IFERROR(((H10-H11*H12/1000)*H15/H14)*100/(100-H9),0),3)</f>
        <v>3.7480000000000002</v>
      </c>
      <c r="I17" s="142">
        <f t="shared" si="4"/>
        <v>3.7480000000000002</v>
      </c>
      <c r="J17" s="142">
        <f t="shared" si="4"/>
        <v>3.6419999999999999</v>
      </c>
      <c r="K17" s="142">
        <f t="shared" si="4"/>
        <v>3.6419999999999999</v>
      </c>
    </row>
    <row r="18" spans="2:11" ht="15" x14ac:dyDescent="0.2">
      <c r="B18" s="90" t="s">
        <v>409</v>
      </c>
      <c r="C18" s="93"/>
      <c r="D18" s="92" t="s">
        <v>204</v>
      </c>
      <c r="E18" s="142">
        <f>IFERROR((E11*E13)*100/(100-E9),0)</f>
        <v>3.5655552863520838E-2</v>
      </c>
      <c r="F18" s="142">
        <f>IFERROR((F11*F13)*100/(100-F9),0)</f>
        <v>2.124087188086226E-2</v>
      </c>
      <c r="G18" s="142">
        <f>IFERROR((G11*G13)*100/(100-G9),0)</f>
        <v>2.124087188086226E-2</v>
      </c>
      <c r="H18" s="142">
        <f t="shared" ref="H18:K18" si="5">ROUND(IFERROR((H11*H13)*100/(100-H9),0),3)</f>
        <v>3.4000000000000002E-2</v>
      </c>
      <c r="I18" s="142">
        <f t="shared" si="5"/>
        <v>3.4000000000000002E-2</v>
      </c>
      <c r="J18" s="142">
        <f t="shared" si="5"/>
        <v>3.5000000000000003E-2</v>
      </c>
      <c r="K18" s="142">
        <f t="shared" si="5"/>
        <v>3.5000000000000003E-2</v>
      </c>
    </row>
    <row r="19" spans="2:11" ht="15" x14ac:dyDescent="0.2">
      <c r="B19" s="92" t="s">
        <v>352</v>
      </c>
      <c r="C19" s="93"/>
      <c r="D19" s="92" t="s">
        <v>204</v>
      </c>
      <c r="E19" s="141">
        <f>IFERROR(((E10-E11*E12/1000)*E15/E14+E11*E13)*100/(100-E9),0)</f>
        <v>3.8069786769818581</v>
      </c>
      <c r="F19" s="141">
        <f>IFERROR(((F10-F11*F12/1000)*F15/F14+F11*F13)*100/(100-F9),0)</f>
        <v>3.9580123692356808</v>
      </c>
      <c r="G19" s="141">
        <f>IFERROR(((G10-G11*G12/1000)*G15/G14+G11*G13)*100/(100-G9),0)</f>
        <v>3.9580123692356808</v>
      </c>
      <c r="H19" s="141">
        <f t="shared" ref="H19:K19" si="6">ROUND(IFERROR(((H10-H11*H12/1000)*H15/H14+H11*H13)*100/(100-H9),0),3)</f>
        <v>3.782</v>
      </c>
      <c r="I19" s="141">
        <f t="shared" si="6"/>
        <v>3.782</v>
      </c>
      <c r="J19" s="141">
        <f t="shared" si="6"/>
        <v>3.677</v>
      </c>
      <c r="K19" s="141">
        <f t="shared" si="6"/>
        <v>3.677</v>
      </c>
    </row>
  </sheetData>
  <mergeCells count="9">
    <mergeCell ref="B2:K2"/>
    <mergeCell ref="B3:K3"/>
    <mergeCell ref="B4:K4"/>
    <mergeCell ref="J6:K6"/>
    <mergeCell ref="E6:G6"/>
    <mergeCell ref="H6:I6"/>
    <mergeCell ref="B6:B8"/>
    <mergeCell ref="D6:D8"/>
    <mergeCell ref="C6:C8"/>
  </mergeCells>
  <pageMargins left="0.7" right="0.2"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2"/>
  <sheetViews>
    <sheetView showGridLines="0" topLeftCell="A7" zoomScale="93" zoomScaleNormal="93" zoomScaleSheetLayoutView="91" workbookViewId="0">
      <selection activeCell="I22" sqref="I22"/>
    </sheetView>
  </sheetViews>
  <sheetFormatPr defaultColWidth="9.28515625" defaultRowHeight="14.25" x14ac:dyDescent="0.2"/>
  <cols>
    <col min="1" max="1" width="3" style="13" customWidth="1"/>
    <col min="2" max="2" width="5.7109375" style="13" customWidth="1"/>
    <col min="3" max="3" width="37" style="13" customWidth="1"/>
    <col min="4" max="5" width="11.5703125" style="13" customWidth="1"/>
    <col min="6" max="6" width="12.7109375" style="13" customWidth="1"/>
    <col min="7" max="7" width="11" style="13" customWidth="1"/>
    <col min="8" max="8" width="12.140625" style="13" customWidth="1"/>
    <col min="9" max="9" width="13.42578125" style="13" customWidth="1"/>
    <col min="10" max="10" width="11.140625" style="13" customWidth="1"/>
    <col min="11" max="11" width="11.5703125" style="13" customWidth="1"/>
    <col min="12" max="12" width="13.5703125" style="13" customWidth="1"/>
    <col min="13" max="13" width="10.5703125" style="13" customWidth="1"/>
    <col min="14" max="16384" width="9.28515625" style="13"/>
  </cols>
  <sheetData>
    <row r="2" spans="2:13" ht="14.25" customHeight="1" x14ac:dyDescent="0.2">
      <c r="B2" s="279" t="s">
        <v>403</v>
      </c>
      <c r="C2" s="279"/>
      <c r="D2" s="279"/>
      <c r="E2" s="279"/>
      <c r="F2" s="279"/>
      <c r="G2" s="279"/>
      <c r="H2" s="279"/>
      <c r="I2" s="279"/>
      <c r="J2" s="279"/>
      <c r="K2" s="279"/>
      <c r="L2" s="279"/>
      <c r="M2" s="279"/>
    </row>
    <row r="3" spans="2:13" ht="14.25" customHeight="1" x14ac:dyDescent="0.2">
      <c r="B3" s="279" t="s">
        <v>468</v>
      </c>
      <c r="C3" s="279"/>
      <c r="D3" s="279"/>
      <c r="E3" s="279"/>
      <c r="F3" s="279"/>
      <c r="G3" s="279"/>
      <c r="H3" s="279"/>
      <c r="I3" s="279"/>
      <c r="J3" s="279"/>
      <c r="K3" s="279"/>
      <c r="L3" s="279"/>
      <c r="M3" s="279"/>
    </row>
    <row r="4" spans="2:13" s="4" customFormat="1" ht="14.25" customHeight="1" x14ac:dyDescent="0.2">
      <c r="B4" s="275" t="s">
        <v>407</v>
      </c>
      <c r="C4" s="275"/>
      <c r="D4" s="275"/>
      <c r="E4" s="275"/>
      <c r="F4" s="275"/>
      <c r="G4" s="275"/>
      <c r="H4" s="275"/>
      <c r="I4" s="275"/>
      <c r="J4" s="275"/>
      <c r="K4" s="275"/>
      <c r="L4" s="275"/>
      <c r="M4" s="275"/>
    </row>
    <row r="6" spans="2:13" ht="12.75" customHeight="1" x14ac:dyDescent="0.2">
      <c r="B6" s="283" t="s">
        <v>193</v>
      </c>
      <c r="C6" s="286" t="s">
        <v>18</v>
      </c>
      <c r="D6" s="280" t="s">
        <v>39</v>
      </c>
      <c r="E6" s="286" t="s">
        <v>1</v>
      </c>
      <c r="F6" s="290" t="s">
        <v>404</v>
      </c>
      <c r="G6" s="291"/>
      <c r="H6" s="292"/>
      <c r="I6" s="290" t="s">
        <v>405</v>
      </c>
      <c r="J6" s="292"/>
      <c r="K6" s="290" t="s">
        <v>467</v>
      </c>
      <c r="L6" s="292"/>
      <c r="M6" s="288" t="s">
        <v>11</v>
      </c>
    </row>
    <row r="7" spans="2:13" ht="60" customHeight="1" x14ac:dyDescent="0.2">
      <c r="B7" s="284"/>
      <c r="C7" s="286"/>
      <c r="D7" s="281"/>
      <c r="E7" s="286"/>
      <c r="F7" s="15" t="s">
        <v>370</v>
      </c>
      <c r="G7" s="15" t="s">
        <v>230</v>
      </c>
      <c r="H7" s="15" t="s">
        <v>466</v>
      </c>
      <c r="I7" s="15" t="s">
        <v>370</v>
      </c>
      <c r="J7" s="15" t="s">
        <v>232</v>
      </c>
      <c r="K7" s="15" t="s">
        <v>370</v>
      </c>
      <c r="L7" s="15" t="s">
        <v>232</v>
      </c>
      <c r="M7" s="288"/>
    </row>
    <row r="8" spans="2:13" ht="30" x14ac:dyDescent="0.2">
      <c r="B8" s="285"/>
      <c r="C8" s="287"/>
      <c r="D8" s="282"/>
      <c r="E8" s="287"/>
      <c r="F8" s="15" t="s">
        <v>10</v>
      </c>
      <c r="G8" s="15" t="s">
        <v>12</v>
      </c>
      <c r="H8" s="15" t="s">
        <v>231</v>
      </c>
      <c r="I8" s="15" t="s">
        <v>10</v>
      </c>
      <c r="J8" s="15" t="s">
        <v>463</v>
      </c>
      <c r="K8" s="15" t="s">
        <v>10</v>
      </c>
      <c r="L8" s="15" t="s">
        <v>463</v>
      </c>
      <c r="M8" s="289"/>
    </row>
    <row r="9" spans="2:13" ht="15" x14ac:dyDescent="0.2">
      <c r="B9" s="22" t="s">
        <v>67</v>
      </c>
      <c r="C9" s="23" t="s">
        <v>235</v>
      </c>
      <c r="D9" s="20"/>
      <c r="E9" s="20"/>
      <c r="F9" s="15"/>
      <c r="G9" s="15"/>
      <c r="H9" s="15"/>
      <c r="I9" s="15"/>
      <c r="J9" s="15"/>
      <c r="K9" s="15"/>
      <c r="L9" s="15"/>
      <c r="M9" s="21"/>
    </row>
    <row r="10" spans="2:13" ht="15" x14ac:dyDescent="0.2">
      <c r="B10" s="2">
        <v>1</v>
      </c>
      <c r="C10" s="3" t="s">
        <v>36</v>
      </c>
      <c r="D10" s="2" t="s">
        <v>205</v>
      </c>
      <c r="E10" s="17" t="s">
        <v>266</v>
      </c>
      <c r="F10" s="166">
        <f>'F2'!E14</f>
        <v>189.59</v>
      </c>
      <c r="G10" s="166">
        <f>'F2'!F14</f>
        <v>451.38</v>
      </c>
      <c r="H10" s="166">
        <f>'F2'!G14</f>
        <v>451.38</v>
      </c>
      <c r="I10" s="166">
        <f>'F2'!H14</f>
        <v>200.86</v>
      </c>
      <c r="J10" s="166">
        <f>'F2'!I14</f>
        <v>475.73</v>
      </c>
      <c r="K10" s="166">
        <f>'F2'!J14</f>
        <v>212.3</v>
      </c>
      <c r="L10" s="166">
        <f>'F2'!K14</f>
        <v>496.8</v>
      </c>
      <c r="M10" s="126"/>
    </row>
    <row r="11" spans="2:13" ht="15" x14ac:dyDescent="0.2">
      <c r="B11" s="2">
        <f t="shared" ref="B11:B16" si="0">B10+1</f>
        <v>2</v>
      </c>
      <c r="C11" s="18" t="s">
        <v>167</v>
      </c>
      <c r="D11" s="2" t="s">
        <v>205</v>
      </c>
      <c r="E11" s="17" t="s">
        <v>23</v>
      </c>
      <c r="F11" s="167">
        <v>274.31</v>
      </c>
      <c r="G11" s="167">
        <f>H11</f>
        <v>247.18</v>
      </c>
      <c r="H11" s="166">
        <f>'F4'!K21</f>
        <v>247.18</v>
      </c>
      <c r="I11" s="168">
        <v>280.08999999999997</v>
      </c>
      <c r="J11" s="166">
        <f>'F4'!K37</f>
        <v>247.98</v>
      </c>
      <c r="K11" s="168">
        <v>280.08999999999997</v>
      </c>
      <c r="L11" s="166">
        <f>'F4'!K53</f>
        <v>267.02999999999997</v>
      </c>
      <c r="M11" s="126"/>
    </row>
    <row r="12" spans="2:13" ht="15" x14ac:dyDescent="0.2">
      <c r="B12" s="2">
        <f t="shared" si="0"/>
        <v>3</v>
      </c>
      <c r="C12" s="3" t="s">
        <v>233</v>
      </c>
      <c r="D12" s="2" t="s">
        <v>205</v>
      </c>
      <c r="E12" s="16" t="s">
        <v>29</v>
      </c>
      <c r="F12" s="166">
        <f>'F5'!D21</f>
        <v>387.89</v>
      </c>
      <c r="G12" s="166">
        <f>'F5'!E21</f>
        <v>398.58</v>
      </c>
      <c r="H12" s="166">
        <f>'F5'!F21</f>
        <v>398.58</v>
      </c>
      <c r="I12" s="166">
        <f>'F5'!G21</f>
        <v>372.99</v>
      </c>
      <c r="J12" s="166">
        <f>'F5'!H21</f>
        <v>386.87</v>
      </c>
      <c r="K12" s="166">
        <f>'F5'!I21</f>
        <v>343.91</v>
      </c>
      <c r="L12" s="166">
        <f>'F5'!J21</f>
        <v>395.72</v>
      </c>
      <c r="M12" s="126"/>
    </row>
    <row r="13" spans="2:13" ht="15" x14ac:dyDescent="0.2">
      <c r="B13" s="2">
        <f t="shared" si="0"/>
        <v>4</v>
      </c>
      <c r="C13" s="18" t="s">
        <v>37</v>
      </c>
      <c r="D13" s="2" t="s">
        <v>205</v>
      </c>
      <c r="E13" s="16" t="s">
        <v>30</v>
      </c>
      <c r="F13" s="166">
        <f>'F6'!D19</f>
        <v>70.14</v>
      </c>
      <c r="G13" s="166">
        <f ca="1">'F6'!E19</f>
        <v>86.53</v>
      </c>
      <c r="H13" s="166">
        <f ca="1">'F6'!F19</f>
        <v>86.53</v>
      </c>
      <c r="I13" s="166">
        <f>'F6'!G19</f>
        <v>72.39</v>
      </c>
      <c r="J13" s="166">
        <f ca="1">'F6'!H19</f>
        <v>83.26</v>
      </c>
      <c r="K13" s="166">
        <f>'F6'!I19</f>
        <v>72.260000000000005</v>
      </c>
      <c r="L13" s="166">
        <f ca="1">'F6'!J19</f>
        <v>82.97</v>
      </c>
      <c r="M13" s="126"/>
    </row>
    <row r="14" spans="2:13" ht="15" x14ac:dyDescent="0.2">
      <c r="B14" s="2">
        <f t="shared" si="0"/>
        <v>5</v>
      </c>
      <c r="C14" s="3" t="s">
        <v>234</v>
      </c>
      <c r="D14" s="2" t="s">
        <v>205</v>
      </c>
      <c r="E14" s="16" t="s">
        <v>31</v>
      </c>
      <c r="F14" s="166">
        <f>'F7'!D21</f>
        <v>377.86</v>
      </c>
      <c r="G14" s="166">
        <f>'F7'!E21</f>
        <v>465.1</v>
      </c>
      <c r="H14" s="166">
        <f>'F7'!F21</f>
        <v>465.1</v>
      </c>
      <c r="I14" s="166">
        <f>'F7'!G21</f>
        <v>518.27</v>
      </c>
      <c r="J14" s="166">
        <f>'F7'!H21</f>
        <v>468.58</v>
      </c>
      <c r="K14" s="166">
        <f>'F7'!I21</f>
        <v>518.27</v>
      </c>
      <c r="L14" s="166">
        <f>'F7'!J21</f>
        <v>492.62</v>
      </c>
      <c r="M14" s="126"/>
    </row>
    <row r="15" spans="2:13" ht="15" x14ac:dyDescent="0.2">
      <c r="B15" s="2">
        <f t="shared" si="0"/>
        <v>6</v>
      </c>
      <c r="C15" s="3" t="s">
        <v>38</v>
      </c>
      <c r="D15" s="2" t="s">
        <v>205</v>
      </c>
      <c r="E15" s="16" t="s">
        <v>32</v>
      </c>
      <c r="F15" s="166">
        <f>'F8'!D29</f>
        <v>11.62</v>
      </c>
      <c r="G15" s="166">
        <f>'F8'!E29</f>
        <v>15.16</v>
      </c>
      <c r="H15" s="166">
        <f>G15</f>
        <v>15.16</v>
      </c>
      <c r="I15" s="166">
        <f>'F8'!G29</f>
        <v>12.09</v>
      </c>
      <c r="J15" s="166">
        <f>'F8'!H29</f>
        <v>15.79</v>
      </c>
      <c r="K15" s="166">
        <f>'F8'!I29</f>
        <v>12.57</v>
      </c>
      <c r="L15" s="166">
        <f>'F8'!J29</f>
        <v>16.43</v>
      </c>
      <c r="M15" s="126"/>
    </row>
    <row r="16" spans="2:13" ht="15" x14ac:dyDescent="0.2">
      <c r="B16" s="14">
        <f t="shared" si="0"/>
        <v>7</v>
      </c>
      <c r="C16" s="19" t="s">
        <v>235</v>
      </c>
      <c r="D16" s="14" t="s">
        <v>205</v>
      </c>
      <c r="E16" s="16"/>
      <c r="F16" s="166">
        <f>SUM(F10:F14)-F15</f>
        <v>1288.17</v>
      </c>
      <c r="G16" s="166">
        <f ca="1">SUM(G10:G14)-G15</f>
        <v>1633.61</v>
      </c>
      <c r="H16" s="166">
        <f t="shared" ref="H16:J16" ca="1" si="1">SUM(H10:H14)-H15</f>
        <v>1633.61</v>
      </c>
      <c r="I16" s="166">
        <f t="shared" si="1"/>
        <v>1432.51</v>
      </c>
      <c r="J16" s="166">
        <f t="shared" ca="1" si="1"/>
        <v>1646.6299999999999</v>
      </c>
      <c r="K16" s="166">
        <f>SUM(K10:K14)-K15</f>
        <v>1414.26</v>
      </c>
      <c r="L16" s="166">
        <f t="shared" ref="L16" ca="1" si="2">SUM(L10:L14)-L15</f>
        <v>1718.7099999999998</v>
      </c>
      <c r="M16" s="126"/>
    </row>
    <row r="17" spans="2:13" ht="15" x14ac:dyDescent="0.2">
      <c r="B17" s="14" t="s">
        <v>71</v>
      </c>
      <c r="C17" s="14" t="s">
        <v>236</v>
      </c>
      <c r="D17" s="16"/>
      <c r="E17" s="16"/>
      <c r="F17" s="127"/>
      <c r="G17" s="127"/>
      <c r="H17" s="127"/>
      <c r="I17" s="127"/>
      <c r="J17" s="127"/>
      <c r="K17" s="127"/>
      <c r="L17" s="127"/>
      <c r="M17" s="3"/>
    </row>
    <row r="18" spans="2:13" ht="15" x14ac:dyDescent="0.2">
      <c r="B18" s="2">
        <v>1</v>
      </c>
      <c r="C18" s="16" t="s">
        <v>237</v>
      </c>
      <c r="D18" s="2" t="s">
        <v>204</v>
      </c>
      <c r="E18" s="16" t="s">
        <v>164</v>
      </c>
      <c r="F18" s="169">
        <f>'F12'!E19</f>
        <v>3.8069786769818581</v>
      </c>
      <c r="G18" s="169">
        <f>'F12'!F19</f>
        <v>3.9580123692356808</v>
      </c>
      <c r="H18" s="169">
        <f>'F12'!G19</f>
        <v>3.9580123692356808</v>
      </c>
      <c r="I18" s="169">
        <f>'F12'!H19</f>
        <v>3.782</v>
      </c>
      <c r="J18" s="169">
        <f>'F12'!I19</f>
        <v>3.782</v>
      </c>
      <c r="K18" s="169">
        <f>'F12'!J19</f>
        <v>3.677</v>
      </c>
      <c r="L18" s="169">
        <f>'F12'!K19</f>
        <v>3.677</v>
      </c>
      <c r="M18" s="3"/>
    </row>
    <row r="19" spans="2:13" ht="15" x14ac:dyDescent="0.2">
      <c r="B19" s="2">
        <f>B18+1</f>
        <v>2</v>
      </c>
      <c r="C19" s="16" t="s">
        <v>238</v>
      </c>
      <c r="D19" s="2" t="s">
        <v>45</v>
      </c>
      <c r="E19" s="16" t="s">
        <v>34</v>
      </c>
      <c r="F19" s="166">
        <f>G19</f>
        <v>4801.3670000000002</v>
      </c>
      <c r="G19" s="166">
        <f>'F10'!F30</f>
        <v>4801.3670000000002</v>
      </c>
      <c r="H19" s="166">
        <f>'F10'!G30</f>
        <v>4801.3670000000002</v>
      </c>
      <c r="I19" s="166">
        <f>J19</f>
        <v>6275.4290000000001</v>
      </c>
      <c r="J19" s="166">
        <f>'F10'!I23</f>
        <v>6275.4290000000001</v>
      </c>
      <c r="K19" s="166">
        <f>L19</f>
        <v>7361.1</v>
      </c>
      <c r="L19" s="166">
        <f>'F10'!K23</f>
        <v>7361.1</v>
      </c>
      <c r="M19" s="3"/>
    </row>
    <row r="20" spans="2:13" ht="15" x14ac:dyDescent="0.2">
      <c r="B20" s="2">
        <f>B19+1</f>
        <v>3</v>
      </c>
      <c r="C20" s="16" t="s">
        <v>236</v>
      </c>
      <c r="D20" s="2" t="s">
        <v>205</v>
      </c>
      <c r="E20" s="16"/>
      <c r="F20" s="166">
        <f>F18*F19/10</f>
        <v>1827.8701789364354</v>
      </c>
      <c r="G20" s="166">
        <f t="shared" ref="G20:L20" si="3">G18*G19/10</f>
        <v>1900.3869975240013</v>
      </c>
      <c r="H20" s="166">
        <f t="shared" si="3"/>
        <v>1900.3869975240013</v>
      </c>
      <c r="I20" s="166">
        <f t="shared" si="3"/>
        <v>2373.3672477999999</v>
      </c>
      <c r="J20" s="166">
        <f t="shared" si="3"/>
        <v>2373.3672477999999</v>
      </c>
      <c r="K20" s="166">
        <f t="shared" si="3"/>
        <v>2706.6764700000003</v>
      </c>
      <c r="L20" s="166">
        <f t="shared" si="3"/>
        <v>2706.6764700000003</v>
      </c>
      <c r="M20" s="3"/>
    </row>
    <row r="21" spans="2:13" ht="15" x14ac:dyDescent="0.2">
      <c r="B21" s="14" t="s">
        <v>72</v>
      </c>
      <c r="C21" s="14" t="s">
        <v>394</v>
      </c>
      <c r="D21" s="2" t="s">
        <v>205</v>
      </c>
      <c r="E21" s="3"/>
      <c r="F21" s="170">
        <f>F16+F20</f>
        <v>3116.0401789364355</v>
      </c>
      <c r="G21" s="166">
        <f t="shared" ref="G21:L21" ca="1" si="4">G16+G20</f>
        <v>3533.996997524001</v>
      </c>
      <c r="H21" s="166">
        <f t="shared" ca="1" si="4"/>
        <v>3533.996997524001</v>
      </c>
      <c r="I21" s="166">
        <f t="shared" si="4"/>
        <v>3805.8772478000001</v>
      </c>
      <c r="J21" s="166">
        <f t="shared" ca="1" si="4"/>
        <v>4019.9972478</v>
      </c>
      <c r="K21" s="166">
        <f t="shared" si="4"/>
        <v>4120.9364700000006</v>
      </c>
      <c r="L21" s="166">
        <f t="shared" ca="1" si="4"/>
        <v>4425.3864700000004</v>
      </c>
      <c r="M21" s="3"/>
    </row>
    <row r="22" spans="2:13" x14ac:dyDescent="0.2">
      <c r="F22" s="143"/>
    </row>
  </sheetData>
  <mergeCells count="11">
    <mergeCell ref="B2:M2"/>
    <mergeCell ref="B3:M3"/>
    <mergeCell ref="B4:M4"/>
    <mergeCell ref="D6:D8"/>
    <mergeCell ref="B6:B8"/>
    <mergeCell ref="C6:C8"/>
    <mergeCell ref="E6:E8"/>
    <mergeCell ref="M6:M8"/>
    <mergeCell ref="F6:H6"/>
    <mergeCell ref="I6:J6"/>
    <mergeCell ref="K6:L6"/>
  </mergeCells>
  <pageMargins left="0.23" right="0.23" top="0.92" bottom="1" header="0.5" footer="0.5"/>
  <pageSetup paperSize="9" scale="88"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2"/>
  <sheetViews>
    <sheetView showGridLines="0" view="pageBreakPreview" zoomScale="81" zoomScaleNormal="93" zoomScaleSheetLayoutView="81" workbookViewId="0">
      <selection activeCell="Q23" sqref="Q23"/>
    </sheetView>
  </sheetViews>
  <sheetFormatPr defaultColWidth="9.28515625" defaultRowHeight="14.25" x14ac:dyDescent="0.2"/>
  <cols>
    <col min="1" max="1" width="4.28515625" style="5" customWidth="1"/>
    <col min="2" max="2" width="30.42578125" style="5" customWidth="1"/>
    <col min="3" max="15" width="10.7109375" style="5" customWidth="1"/>
    <col min="16" max="16384" width="9.28515625" style="5"/>
  </cols>
  <sheetData>
    <row r="1" spans="2:16" ht="15" x14ac:dyDescent="0.2">
      <c r="B1" s="95"/>
    </row>
    <row r="2" spans="2:16" ht="15" x14ac:dyDescent="0.2">
      <c r="I2" s="32" t="s">
        <v>403</v>
      </c>
    </row>
    <row r="3" spans="2:16" ht="15" x14ac:dyDescent="0.2">
      <c r="I3" s="32" t="s">
        <v>468</v>
      </c>
    </row>
    <row r="4" spans="2:16" ht="15" x14ac:dyDescent="0.2">
      <c r="C4" s="70"/>
      <c r="D4" s="70"/>
      <c r="E4" s="70"/>
      <c r="F4" s="70"/>
      <c r="G4" s="70"/>
      <c r="H4" s="70"/>
      <c r="I4" s="35" t="s">
        <v>365</v>
      </c>
    </row>
    <row r="5" spans="2:16" ht="16.5" x14ac:dyDescent="0.2">
      <c r="B5" s="24"/>
      <c r="C5" s="70"/>
      <c r="D5" s="70"/>
      <c r="E5" s="70"/>
      <c r="F5" s="70"/>
      <c r="G5" s="70"/>
      <c r="H5" s="70"/>
      <c r="I5" s="84"/>
    </row>
    <row r="6" spans="2:16" ht="15" x14ac:dyDescent="0.2">
      <c r="B6" s="24" t="s">
        <v>404</v>
      </c>
      <c r="C6" s="70"/>
      <c r="D6" s="70"/>
      <c r="E6" s="70"/>
      <c r="F6" s="70"/>
      <c r="G6" s="70"/>
      <c r="H6" s="70"/>
      <c r="I6" s="70"/>
      <c r="J6" s="70"/>
      <c r="K6" s="70"/>
      <c r="L6" s="70"/>
      <c r="M6" s="70"/>
      <c r="N6" s="70"/>
    </row>
    <row r="7" spans="2:16" ht="18.75" customHeight="1" x14ac:dyDescent="0.2">
      <c r="B7" s="295" t="s">
        <v>366</v>
      </c>
      <c r="C7" s="318" t="s">
        <v>153</v>
      </c>
      <c r="D7" s="303"/>
      <c r="E7" s="303"/>
      <c r="F7" s="303"/>
      <c r="G7" s="303"/>
      <c r="H7" s="303"/>
      <c r="I7" s="303"/>
      <c r="J7" s="303"/>
      <c r="K7" s="303"/>
      <c r="L7" s="303"/>
      <c r="M7" s="303"/>
      <c r="N7" s="304"/>
      <c r="O7" s="221" t="s">
        <v>45</v>
      </c>
      <c r="P7" s="84"/>
    </row>
    <row r="8" spans="2:16" ht="15" x14ac:dyDescent="0.2">
      <c r="B8" s="297"/>
      <c r="C8" s="213" t="s">
        <v>141</v>
      </c>
      <c r="D8" s="213" t="s">
        <v>142</v>
      </c>
      <c r="E8" s="214" t="s">
        <v>143</v>
      </c>
      <c r="F8" s="214" t="s">
        <v>144</v>
      </c>
      <c r="G8" s="214" t="s">
        <v>145</v>
      </c>
      <c r="H8" s="214" t="s">
        <v>146</v>
      </c>
      <c r="I8" s="214" t="s">
        <v>147</v>
      </c>
      <c r="J8" s="214" t="s">
        <v>148</v>
      </c>
      <c r="K8" s="214" t="s">
        <v>149</v>
      </c>
      <c r="L8" s="214" t="s">
        <v>150</v>
      </c>
      <c r="M8" s="214" t="s">
        <v>151</v>
      </c>
      <c r="N8" s="214" t="s">
        <v>152</v>
      </c>
      <c r="O8" s="213" t="s">
        <v>154</v>
      </c>
    </row>
    <row r="9" spans="2:16" s="32" customFormat="1" ht="15" x14ac:dyDescent="0.2">
      <c r="B9" s="161" t="s">
        <v>461</v>
      </c>
      <c r="C9" s="160">
        <f>528.803*0.7055</f>
        <v>373.0705165</v>
      </c>
      <c r="D9" s="160">
        <f>565.1498*0.7055</f>
        <v>398.71318390000005</v>
      </c>
      <c r="E9" s="160">
        <f>522.8254*0.7055</f>
        <v>368.85331969999999</v>
      </c>
      <c r="F9" s="160">
        <f>391.09*0.7055</f>
        <v>275.913995</v>
      </c>
      <c r="G9" s="160">
        <f>351.65*0.7055</f>
        <v>248.08907499999998</v>
      </c>
      <c r="H9" s="160">
        <f>292.26*0.7055</f>
        <v>206.18942999999999</v>
      </c>
      <c r="I9" s="160">
        <f>325.82*0.7055</f>
        <v>229.86600999999999</v>
      </c>
      <c r="J9" s="160">
        <f>218.4*0.7055</f>
        <v>154.0812</v>
      </c>
      <c r="K9" s="160">
        <f>382.74*0.7055</f>
        <v>270.02307000000002</v>
      </c>
      <c r="L9" s="160">
        <f>416.92*0.7055</f>
        <v>294.13706000000002</v>
      </c>
      <c r="M9" s="160">
        <f>368.45*0.7055</f>
        <v>259.94147500000003</v>
      </c>
      <c r="N9" s="160">
        <f>437.29*0.7055</f>
        <v>308.50809500000003</v>
      </c>
      <c r="O9" s="175">
        <f>SUM(C9:N9)</f>
        <v>3387.3864301000003</v>
      </c>
    </row>
    <row r="10" spans="2:16" s="32" customFormat="1" ht="15" x14ac:dyDescent="0.2">
      <c r="B10" s="161"/>
      <c r="C10" s="160"/>
      <c r="D10" s="160"/>
      <c r="E10" s="160"/>
      <c r="F10" s="160"/>
      <c r="G10" s="160"/>
      <c r="H10" s="160"/>
      <c r="I10" s="175"/>
      <c r="J10" s="175"/>
      <c r="K10" s="175"/>
      <c r="L10" s="175"/>
      <c r="M10" s="175"/>
      <c r="N10" s="175"/>
      <c r="O10" s="175"/>
    </row>
    <row r="11" spans="2:16" s="32" customFormat="1" ht="15" x14ac:dyDescent="0.2">
      <c r="B11" s="161" t="s">
        <v>462</v>
      </c>
      <c r="C11" s="160">
        <f>528.803*0.2945</f>
        <v>155.7324835</v>
      </c>
      <c r="D11" s="160">
        <f>565.1498*0.2945</f>
        <v>166.43661610000001</v>
      </c>
      <c r="E11" s="160">
        <f>522.8254*0.2945</f>
        <v>153.97208029999999</v>
      </c>
      <c r="F11" s="160">
        <f>391.09*0.2945</f>
        <v>115.17600499999999</v>
      </c>
      <c r="G11" s="160">
        <f>351.65*0.2945</f>
        <v>103.56092499999998</v>
      </c>
      <c r="H11" s="160">
        <f>292.26*0.2945</f>
        <v>86.070569999999989</v>
      </c>
      <c r="I11" s="160">
        <f>325.82*0.2945</f>
        <v>95.95398999999999</v>
      </c>
      <c r="J11" s="160">
        <f>218.4*0.2945</f>
        <v>64.318799999999996</v>
      </c>
      <c r="K11" s="160">
        <f>382.74*0.2945</f>
        <v>112.71692999999999</v>
      </c>
      <c r="L11" s="160">
        <f>416.92*0.2945</f>
        <v>122.78294</v>
      </c>
      <c r="M11" s="160">
        <f>368.45*0.2945</f>
        <v>108.50852499999999</v>
      </c>
      <c r="N11" s="160">
        <f>437.29*0.2945</f>
        <v>128.78190499999999</v>
      </c>
      <c r="O11" s="175">
        <f>SUM(C11:N11)</f>
        <v>1414.0117699</v>
      </c>
    </row>
    <row r="12" spans="2:16" s="32" customFormat="1" ht="15" x14ac:dyDescent="0.2">
      <c r="B12" s="215"/>
      <c r="C12" s="175"/>
      <c r="D12" s="175"/>
      <c r="E12" s="175"/>
      <c r="F12" s="175"/>
      <c r="G12" s="175"/>
      <c r="H12" s="175"/>
      <c r="I12" s="175"/>
      <c r="J12" s="175"/>
      <c r="K12" s="175"/>
      <c r="L12" s="175"/>
      <c r="M12" s="175"/>
      <c r="N12" s="175"/>
      <c r="O12" s="175"/>
    </row>
    <row r="13" spans="2:16" ht="15" x14ac:dyDescent="0.2">
      <c r="B13" s="175" t="s">
        <v>139</v>
      </c>
      <c r="C13" s="216">
        <f>C9+C11</f>
        <v>528.803</v>
      </c>
      <c r="D13" s="216">
        <f t="shared" ref="D13:N13" si="0">D9+D11</f>
        <v>565.14980000000003</v>
      </c>
      <c r="E13" s="216">
        <f t="shared" si="0"/>
        <v>522.82539999999995</v>
      </c>
      <c r="F13" s="216">
        <f t="shared" si="0"/>
        <v>391.09</v>
      </c>
      <c r="G13" s="216">
        <f t="shared" si="0"/>
        <v>351.65</v>
      </c>
      <c r="H13" s="216">
        <f>H9+H11</f>
        <v>292.26</v>
      </c>
      <c r="I13" s="216">
        <f t="shared" si="0"/>
        <v>325.82</v>
      </c>
      <c r="J13" s="216">
        <f t="shared" si="0"/>
        <v>218.39999999999998</v>
      </c>
      <c r="K13" s="216">
        <f t="shared" si="0"/>
        <v>382.74</v>
      </c>
      <c r="L13" s="216">
        <f>L9+L11</f>
        <v>416.92</v>
      </c>
      <c r="M13" s="216">
        <f t="shared" si="0"/>
        <v>368.45000000000005</v>
      </c>
      <c r="N13" s="216">
        <f t="shared" si="0"/>
        <v>437.29</v>
      </c>
      <c r="O13" s="216">
        <f>O9+O11</f>
        <v>4801.3982000000005</v>
      </c>
    </row>
    <row r="15" spans="2:16" ht="15" x14ac:dyDescent="0.2">
      <c r="B15" s="24"/>
      <c r="C15" s="70"/>
      <c r="D15" s="70"/>
      <c r="E15" s="70"/>
      <c r="F15" s="70"/>
      <c r="G15" s="70"/>
      <c r="H15" s="70"/>
      <c r="I15" s="70"/>
      <c r="J15" s="70"/>
      <c r="K15" s="70"/>
      <c r="L15" s="70"/>
      <c r="M15" s="70"/>
      <c r="N15" s="70"/>
      <c r="O15" s="35"/>
    </row>
    <row r="16" spans="2:16" ht="15" x14ac:dyDescent="0.2">
      <c r="B16" s="24" t="s">
        <v>405</v>
      </c>
      <c r="C16" s="70"/>
      <c r="D16" s="70"/>
      <c r="E16" s="70"/>
      <c r="F16" s="70"/>
      <c r="G16" s="70"/>
      <c r="H16" s="70"/>
      <c r="I16" s="35"/>
    </row>
    <row r="17" spans="2:15" ht="15" x14ac:dyDescent="0.2">
      <c r="B17" s="212"/>
      <c r="C17" s="318" t="s">
        <v>153</v>
      </c>
      <c r="D17" s="303"/>
      <c r="E17" s="303"/>
      <c r="F17" s="303"/>
      <c r="G17" s="303"/>
      <c r="H17" s="304"/>
      <c r="I17" s="318" t="s">
        <v>5</v>
      </c>
      <c r="J17" s="303"/>
      <c r="K17" s="303"/>
      <c r="L17" s="303"/>
      <c r="M17" s="303"/>
      <c r="N17" s="304"/>
      <c r="O17" s="217" t="s">
        <v>140</v>
      </c>
    </row>
    <row r="18" spans="2:15" ht="15" x14ac:dyDescent="0.2">
      <c r="B18" s="213" t="s">
        <v>366</v>
      </c>
      <c r="C18" s="213" t="s">
        <v>141</v>
      </c>
      <c r="D18" s="213" t="s">
        <v>142</v>
      </c>
      <c r="E18" s="214" t="s">
        <v>143</v>
      </c>
      <c r="F18" s="214" t="s">
        <v>144</v>
      </c>
      <c r="G18" s="214" t="s">
        <v>145</v>
      </c>
      <c r="H18" s="214" t="s">
        <v>146</v>
      </c>
      <c r="I18" s="214" t="s">
        <v>147</v>
      </c>
      <c r="J18" s="214" t="s">
        <v>148</v>
      </c>
      <c r="K18" s="214" t="s">
        <v>149</v>
      </c>
      <c r="L18" s="214" t="s">
        <v>150</v>
      </c>
      <c r="M18" s="214" t="s">
        <v>151</v>
      </c>
      <c r="N18" s="214" t="s">
        <v>152</v>
      </c>
      <c r="O18" s="214" t="s">
        <v>139</v>
      </c>
    </row>
    <row r="19" spans="2:15" ht="15" x14ac:dyDescent="0.2">
      <c r="B19" s="161" t="s">
        <v>461</v>
      </c>
      <c r="C19" s="160">
        <f>447.3*0.7055</f>
        <v>315.57015000000001</v>
      </c>
      <c r="D19" s="160">
        <f>502.17*0.7055</f>
        <v>354.280935</v>
      </c>
      <c r="E19" s="160">
        <f>478.05*0.7055</f>
        <v>337.264275</v>
      </c>
      <c r="F19" s="160">
        <f>383.58*0.7055</f>
        <v>270.61568999999997</v>
      </c>
      <c r="G19" s="160">
        <f>444.82*0.7055</f>
        <v>313.82051000000001</v>
      </c>
      <c r="H19" s="160">
        <f>349.33*0.7055</f>
        <v>246.452315</v>
      </c>
      <c r="I19" s="218">
        <f>643.3182*0.7055</f>
        <v>453.86099010000004</v>
      </c>
      <c r="J19" s="218">
        <f>622.566*0.7055</f>
        <v>439.22031300000003</v>
      </c>
      <c r="K19" s="218">
        <f>536.59*0.7055</f>
        <v>378.56424500000003</v>
      </c>
      <c r="L19" s="218">
        <f>643.3182*0.7055</f>
        <v>453.86099010000004</v>
      </c>
      <c r="M19" s="218">
        <f>581.0616*0.7055</f>
        <v>409.93895880000002</v>
      </c>
      <c r="N19" s="218">
        <f>643.3182*0.7055</f>
        <v>453.86099010000004</v>
      </c>
      <c r="O19" s="175">
        <f>SUM(C19:N19)</f>
        <v>4427.3103621</v>
      </c>
    </row>
    <row r="20" spans="2:15" ht="15" x14ac:dyDescent="0.2">
      <c r="B20" s="161"/>
      <c r="C20" s="160"/>
      <c r="D20" s="160"/>
      <c r="E20" s="160"/>
      <c r="F20" s="160"/>
      <c r="G20" s="160"/>
      <c r="H20" s="160"/>
      <c r="I20" s="219"/>
      <c r="J20" s="219"/>
      <c r="K20" s="219"/>
      <c r="L20" s="219"/>
      <c r="M20" s="219"/>
      <c r="N20" s="219"/>
      <c r="O20" s="175"/>
    </row>
    <row r="21" spans="2:15" ht="15" x14ac:dyDescent="0.2">
      <c r="B21" s="161" t="s">
        <v>462</v>
      </c>
      <c r="C21" s="160">
        <f>447.3*0.2945</f>
        <v>131.72985</v>
      </c>
      <c r="D21" s="160">
        <f>502.17*0.2945</f>
        <v>147.88906499999999</v>
      </c>
      <c r="E21" s="160">
        <f>478.05*0.2945</f>
        <v>140.78572499999999</v>
      </c>
      <c r="F21" s="160">
        <f>383.58*0.2945</f>
        <v>112.96430999999998</v>
      </c>
      <c r="G21" s="160">
        <f>444.825926*0.2945</f>
        <v>131.00123520699998</v>
      </c>
      <c r="H21" s="160">
        <f>349.33*0.2945</f>
        <v>102.87768499999999</v>
      </c>
      <c r="I21" s="218">
        <f>643.3182*0.2945</f>
        <v>189.45720990000001</v>
      </c>
      <c r="J21" s="218">
        <f>622.566*0.2945</f>
        <v>183.345687</v>
      </c>
      <c r="K21" s="218">
        <f>536.59*0.2945</f>
        <v>158.025755</v>
      </c>
      <c r="L21" s="218">
        <f>643.3182*0.2945</f>
        <v>189.45720990000001</v>
      </c>
      <c r="M21" s="218">
        <f>581.0616*0.2945</f>
        <v>171.1226412</v>
      </c>
      <c r="N21" s="218">
        <f>643.3182*0.2945</f>
        <v>189.45720990000001</v>
      </c>
      <c r="O21" s="175">
        <f>SUM(C21:N21)</f>
        <v>1848.1135831069996</v>
      </c>
    </row>
    <row r="22" spans="2:15" x14ac:dyDescent="0.2">
      <c r="B22" s="215"/>
      <c r="C22" s="220"/>
      <c r="D22" s="220"/>
      <c r="E22" s="220"/>
      <c r="F22" s="220"/>
      <c r="G22" s="220"/>
      <c r="H22" s="220"/>
      <c r="I22" s="220"/>
      <c r="J22" s="220"/>
      <c r="K22" s="220"/>
      <c r="L22" s="220"/>
      <c r="M22" s="220"/>
      <c r="N22" s="220"/>
      <c r="O22" s="220"/>
    </row>
    <row r="23" spans="2:15" ht="15" x14ac:dyDescent="0.2">
      <c r="B23" s="175" t="s">
        <v>139</v>
      </c>
      <c r="C23" s="216">
        <f>C19+C21</f>
        <v>447.3</v>
      </c>
      <c r="D23" s="216">
        <f t="shared" ref="D23:N23" si="1">D19+D21</f>
        <v>502.16999999999996</v>
      </c>
      <c r="E23" s="216">
        <f t="shared" si="1"/>
        <v>478.04999999999995</v>
      </c>
      <c r="F23" s="216">
        <f t="shared" si="1"/>
        <v>383.57999999999993</v>
      </c>
      <c r="G23" s="216">
        <f t="shared" si="1"/>
        <v>444.82174520699999</v>
      </c>
      <c r="H23" s="216">
        <f t="shared" si="1"/>
        <v>349.33</v>
      </c>
      <c r="I23" s="216">
        <f t="shared" si="1"/>
        <v>643.31820000000005</v>
      </c>
      <c r="J23" s="216">
        <f t="shared" si="1"/>
        <v>622.56600000000003</v>
      </c>
      <c r="K23" s="216">
        <f>K19+K21</f>
        <v>536.59</v>
      </c>
      <c r="L23" s="216">
        <f t="shared" si="1"/>
        <v>643.31820000000005</v>
      </c>
      <c r="M23" s="216">
        <f t="shared" si="1"/>
        <v>581.0616</v>
      </c>
      <c r="N23" s="216">
        <f t="shared" si="1"/>
        <v>643.31820000000005</v>
      </c>
      <c r="O23" s="216">
        <f>O19+O21</f>
        <v>6275.4239452069996</v>
      </c>
    </row>
    <row r="24" spans="2:15" ht="22.5" customHeight="1" x14ac:dyDescent="0.2"/>
    <row r="25" spans="2:15" ht="15" x14ac:dyDescent="0.2">
      <c r="B25" s="24" t="s">
        <v>467</v>
      </c>
      <c r="C25" s="70"/>
      <c r="D25" s="70"/>
      <c r="E25" s="70"/>
      <c r="F25" s="70"/>
      <c r="G25" s="70"/>
      <c r="H25" s="70"/>
      <c r="I25" s="35"/>
    </row>
    <row r="26" spans="2:15" ht="15" x14ac:dyDescent="0.2">
      <c r="B26" s="24" t="s">
        <v>485</v>
      </c>
      <c r="C26" s="25"/>
      <c r="D26" s="25"/>
      <c r="O26" s="25" t="s">
        <v>140</v>
      </c>
    </row>
    <row r="27" spans="2:15" ht="15" x14ac:dyDescent="0.2">
      <c r="B27" s="213" t="s">
        <v>366</v>
      </c>
      <c r="C27" s="213" t="s">
        <v>141</v>
      </c>
      <c r="D27" s="213" t="s">
        <v>142</v>
      </c>
      <c r="E27" s="214" t="s">
        <v>143</v>
      </c>
      <c r="F27" s="214" t="s">
        <v>144</v>
      </c>
      <c r="G27" s="214" t="s">
        <v>145</v>
      </c>
      <c r="H27" s="214" t="s">
        <v>146</v>
      </c>
      <c r="I27" s="214" t="s">
        <v>147</v>
      </c>
      <c r="J27" s="214" t="s">
        <v>148</v>
      </c>
      <c r="K27" s="214" t="s">
        <v>149</v>
      </c>
      <c r="L27" s="214" t="s">
        <v>150</v>
      </c>
      <c r="M27" s="214" t="s">
        <v>151</v>
      </c>
      <c r="N27" s="214" t="s">
        <v>152</v>
      </c>
      <c r="O27" s="214" t="s">
        <v>139</v>
      </c>
    </row>
    <row r="28" spans="2:15" ht="15" x14ac:dyDescent="0.2">
      <c r="B28" s="161" t="s">
        <v>461</v>
      </c>
      <c r="C28" s="218">
        <f>622.57*0.7055</f>
        <v>439.22313500000007</v>
      </c>
      <c r="D28" s="218">
        <f>643.32*0.7055</f>
        <v>453.86226000000005</v>
      </c>
      <c r="E28" s="218">
        <f>553.19*0.7055</f>
        <v>390.27554500000002</v>
      </c>
      <c r="F28" s="218">
        <f>605.96*0.7055</f>
        <v>427.50478000000004</v>
      </c>
      <c r="G28" s="218">
        <f>643.32*0.7055</f>
        <v>453.86226000000005</v>
      </c>
      <c r="H28" s="218">
        <f>622.57*0.7055</f>
        <v>439.22313500000007</v>
      </c>
      <c r="I28" s="218">
        <f>643.32*0.7055</f>
        <v>453.86226000000005</v>
      </c>
      <c r="J28" s="218">
        <f>569.2*0.7055</f>
        <v>401.57060000000001</v>
      </c>
      <c r="K28" s="218">
        <f>589.961*0.7055</f>
        <v>416.21748550000001</v>
      </c>
      <c r="L28" s="218">
        <f>643.32*0.7055</f>
        <v>453.86226000000005</v>
      </c>
      <c r="M28" s="218">
        <f>581.06*0.7055</f>
        <v>409.93782999999996</v>
      </c>
      <c r="N28" s="218">
        <f>643.32*0.7055</f>
        <v>453.86226000000005</v>
      </c>
      <c r="O28" s="160">
        <f>SUM(C28:N28)</f>
        <v>5193.2638104999996</v>
      </c>
    </row>
    <row r="29" spans="2:15" ht="15" x14ac:dyDescent="0.2">
      <c r="B29" s="161"/>
      <c r="C29" s="219"/>
      <c r="D29" s="219"/>
      <c r="E29" s="219"/>
      <c r="F29" s="219"/>
      <c r="G29" s="219"/>
      <c r="H29" s="219"/>
      <c r="I29" s="219"/>
      <c r="J29" s="219"/>
      <c r="K29" s="219"/>
      <c r="L29" s="219"/>
      <c r="M29" s="219"/>
      <c r="N29" s="219"/>
      <c r="O29" s="175"/>
    </row>
    <row r="30" spans="2:15" ht="15" x14ac:dyDescent="0.2">
      <c r="B30" s="161" t="s">
        <v>462</v>
      </c>
      <c r="C30" s="218">
        <f>622.57*0.2945</f>
        <v>183.34686500000001</v>
      </c>
      <c r="D30" s="218">
        <f>643.32*0.2945</f>
        <v>189.45774</v>
      </c>
      <c r="E30" s="218">
        <f>553.19*0.2945</f>
        <v>162.914455</v>
      </c>
      <c r="F30" s="218">
        <f>605.96*0.2945</f>
        <v>178.45522</v>
      </c>
      <c r="G30" s="218">
        <f>643.32*0.2945</f>
        <v>189.45774</v>
      </c>
      <c r="H30" s="218">
        <f>622.57*0.2945</f>
        <v>183.34686500000001</v>
      </c>
      <c r="I30" s="218">
        <f>643.32*0.2945</f>
        <v>189.45774</v>
      </c>
      <c r="J30" s="218">
        <f>569.2*0.2945</f>
        <v>167.6294</v>
      </c>
      <c r="K30" s="218">
        <f>589.96*0.2945</f>
        <v>173.74322000000001</v>
      </c>
      <c r="L30" s="218">
        <f>643.32*0.2945</f>
        <v>189.45774</v>
      </c>
      <c r="M30" s="218">
        <f>581.06*0.2945</f>
        <v>171.12216999999998</v>
      </c>
      <c r="N30" s="218">
        <f>643.32*0.2945</f>
        <v>189.45774</v>
      </c>
      <c r="O30" s="160">
        <f>SUM(C30:N30)</f>
        <v>2167.8468950000001</v>
      </c>
    </row>
    <row r="31" spans="2:15" x14ac:dyDescent="0.2">
      <c r="B31" s="215"/>
      <c r="C31" s="220"/>
      <c r="D31" s="220"/>
      <c r="E31" s="220"/>
      <c r="F31" s="220"/>
      <c r="G31" s="220"/>
      <c r="H31" s="220"/>
      <c r="I31" s="220"/>
      <c r="J31" s="220"/>
      <c r="K31" s="220"/>
      <c r="L31" s="220"/>
      <c r="M31" s="220"/>
      <c r="N31" s="220"/>
      <c r="O31" s="220"/>
    </row>
    <row r="32" spans="2:15" ht="15" x14ac:dyDescent="0.2">
      <c r="B32" s="175" t="s">
        <v>139</v>
      </c>
      <c r="C32" s="216">
        <f>C28+C30</f>
        <v>622.57000000000005</v>
      </c>
      <c r="D32" s="216">
        <f t="shared" ref="D32:M32" si="2">D28+D30</f>
        <v>643.32000000000005</v>
      </c>
      <c r="E32" s="216">
        <f t="shared" si="2"/>
        <v>553.19000000000005</v>
      </c>
      <c r="F32" s="216">
        <f t="shared" si="2"/>
        <v>605.96</v>
      </c>
      <c r="G32" s="216">
        <f t="shared" si="2"/>
        <v>643.32000000000005</v>
      </c>
      <c r="H32" s="216">
        <f t="shared" si="2"/>
        <v>622.57000000000005</v>
      </c>
      <c r="I32" s="216">
        <f t="shared" si="2"/>
        <v>643.32000000000005</v>
      </c>
      <c r="J32" s="216">
        <f t="shared" si="2"/>
        <v>569.20000000000005</v>
      </c>
      <c r="K32" s="216">
        <f t="shared" si="2"/>
        <v>589.96070550000002</v>
      </c>
      <c r="L32" s="216">
        <f t="shared" si="2"/>
        <v>643.32000000000005</v>
      </c>
      <c r="M32" s="216">
        <f t="shared" si="2"/>
        <v>581.05999999999995</v>
      </c>
      <c r="N32" s="216">
        <f>N28+N30</f>
        <v>643.32000000000005</v>
      </c>
      <c r="O32" s="216">
        <f t="shared" ref="O32" si="3">O28+O30</f>
        <v>7361.1107054999993</v>
      </c>
    </row>
  </sheetData>
  <mergeCells count="4">
    <mergeCell ref="B7:B8"/>
    <mergeCell ref="C7:N7"/>
    <mergeCell ref="C17:H17"/>
    <mergeCell ref="I17:N17"/>
  </mergeCells>
  <pageMargins left="0.13" right="0.33" top="1" bottom="0.37" header="0.5" footer="0.5"/>
  <pageSetup paperSize="9" scale="8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82"/>
  <sheetViews>
    <sheetView showGridLines="0" view="pageBreakPreview" topLeftCell="D18" zoomScaleNormal="93" zoomScaleSheetLayoutView="100" workbookViewId="0">
      <selection activeCell="E32" sqref="E32:S32"/>
    </sheetView>
  </sheetViews>
  <sheetFormatPr defaultColWidth="9.28515625" defaultRowHeight="15" x14ac:dyDescent="0.2"/>
  <cols>
    <col min="1" max="1" width="2.42578125" style="13" customWidth="1"/>
    <col min="2" max="2" width="5" style="13" customWidth="1"/>
    <col min="3" max="3" width="40.5703125" style="13" customWidth="1"/>
    <col min="4" max="4" width="13" style="13" customWidth="1"/>
    <col min="5" max="5" width="9.85546875" style="13" customWidth="1"/>
    <col min="6" max="6" width="10.42578125" style="13" customWidth="1"/>
    <col min="7" max="7" width="9" style="13" customWidth="1"/>
    <col min="8" max="8" width="9.7109375" style="13" customWidth="1"/>
    <col min="9" max="9" width="10" style="13" customWidth="1"/>
    <col min="10" max="10" width="11.140625" style="13" customWidth="1"/>
    <col min="11" max="11" width="9.5703125" style="13" customWidth="1"/>
    <col min="12" max="12" width="11.85546875" style="13" customWidth="1"/>
    <col min="13" max="13" width="9.7109375" style="13" customWidth="1"/>
    <col min="14" max="15" width="9" style="13" customWidth="1"/>
    <col min="16" max="16" width="9.28515625" style="13" customWidth="1"/>
    <col min="17" max="17" width="10.42578125" style="36" customWidth="1"/>
    <col min="18" max="16384" width="9.28515625" style="13"/>
  </cols>
  <sheetData>
    <row r="1" spans="2:17" s="5" customFormat="1" ht="15" customHeight="1" x14ac:dyDescent="0.2">
      <c r="Q1" s="32"/>
    </row>
    <row r="2" spans="2:17" s="5" customFormat="1" ht="15" customHeight="1" x14ac:dyDescent="0.2">
      <c r="I2" s="32" t="s">
        <v>403</v>
      </c>
      <c r="Q2" s="32"/>
    </row>
    <row r="3" spans="2:17" s="5" customFormat="1" ht="15" customHeight="1" x14ac:dyDescent="0.2">
      <c r="I3" s="32" t="str">
        <f>'F1'!$B$3</f>
        <v>BTPS</v>
      </c>
      <c r="Q3" s="32"/>
    </row>
    <row r="4" spans="2:17" x14ac:dyDescent="0.2">
      <c r="B4" s="24" t="s">
        <v>404</v>
      </c>
      <c r="I4" s="35" t="s">
        <v>369</v>
      </c>
    </row>
    <row r="5" spans="2:17" x14ac:dyDescent="0.2">
      <c r="B5" s="36" t="s">
        <v>12</v>
      </c>
    </row>
    <row r="6" spans="2:17" ht="30" x14ac:dyDescent="0.2">
      <c r="B6" s="97" t="s">
        <v>193</v>
      </c>
      <c r="C6" s="97" t="s">
        <v>18</v>
      </c>
      <c r="D6" s="97" t="s">
        <v>39</v>
      </c>
      <c r="E6" s="31" t="s">
        <v>141</v>
      </c>
      <c r="F6" s="31" t="s">
        <v>142</v>
      </c>
      <c r="G6" s="96" t="s">
        <v>143</v>
      </c>
      <c r="H6" s="96" t="s">
        <v>144</v>
      </c>
      <c r="I6" s="96" t="s">
        <v>145</v>
      </c>
      <c r="J6" s="96" t="s">
        <v>146</v>
      </c>
      <c r="K6" s="96" t="s">
        <v>147</v>
      </c>
      <c r="L6" s="96" t="s">
        <v>148</v>
      </c>
      <c r="M6" s="96" t="s">
        <v>149</v>
      </c>
      <c r="N6" s="96" t="s">
        <v>150</v>
      </c>
      <c r="O6" s="96" t="s">
        <v>151</v>
      </c>
      <c r="P6" s="96" t="s">
        <v>152</v>
      </c>
      <c r="Q6" s="98" t="s">
        <v>139</v>
      </c>
    </row>
    <row r="7" spans="2:17" ht="17.25" x14ac:dyDescent="0.2">
      <c r="B7" s="99">
        <v>1</v>
      </c>
      <c r="C7" s="100" t="s">
        <v>172</v>
      </c>
      <c r="D7" s="99" t="s">
        <v>42</v>
      </c>
      <c r="E7" s="182">
        <v>85</v>
      </c>
      <c r="F7" s="182">
        <v>85</v>
      </c>
      <c r="G7" s="182">
        <v>85</v>
      </c>
      <c r="H7" s="182">
        <v>85</v>
      </c>
      <c r="I7" s="182">
        <v>85</v>
      </c>
      <c r="J7" s="182">
        <v>85</v>
      </c>
      <c r="K7" s="182">
        <v>85</v>
      </c>
      <c r="L7" s="182">
        <v>85</v>
      </c>
      <c r="M7" s="182">
        <v>85</v>
      </c>
      <c r="N7" s="182">
        <v>85</v>
      </c>
      <c r="O7" s="182">
        <v>85</v>
      </c>
      <c r="P7" s="182">
        <v>85</v>
      </c>
      <c r="Q7" s="183">
        <v>85</v>
      </c>
    </row>
    <row r="8" spans="2:17" ht="17.25" x14ac:dyDescent="0.2">
      <c r="B8" s="99">
        <f>B7+1</f>
        <v>2</v>
      </c>
      <c r="C8" s="100" t="s">
        <v>194</v>
      </c>
      <c r="D8" s="99" t="s">
        <v>42</v>
      </c>
      <c r="E8" s="182">
        <v>78.349999999999994</v>
      </c>
      <c r="F8" s="182">
        <v>81.650000000000006</v>
      </c>
      <c r="G8" s="182">
        <v>79.61</v>
      </c>
      <c r="H8" s="182">
        <v>59.34</v>
      </c>
      <c r="I8" s="182">
        <v>54.82</v>
      </c>
      <c r="J8" s="182">
        <v>46.72</v>
      </c>
      <c r="K8" s="182">
        <v>54.07</v>
      </c>
      <c r="L8" s="182">
        <v>43.65</v>
      </c>
      <c r="M8" s="182">
        <v>65.02</v>
      </c>
      <c r="N8" s="182">
        <v>63.54</v>
      </c>
      <c r="O8" s="182">
        <v>58.52</v>
      </c>
      <c r="P8" s="182">
        <v>68.67</v>
      </c>
      <c r="Q8" s="183">
        <v>62.86</v>
      </c>
    </row>
    <row r="9" spans="2:17" ht="17.25" x14ac:dyDescent="0.2">
      <c r="B9" s="99">
        <f t="shared" ref="B9:B25" si="0">B8+1</f>
        <v>3</v>
      </c>
      <c r="C9" s="100" t="s">
        <v>195</v>
      </c>
      <c r="D9" s="99" t="s">
        <v>42</v>
      </c>
      <c r="E9" s="182">
        <v>78.349999999999994</v>
      </c>
      <c r="F9" s="182">
        <v>80.03</v>
      </c>
      <c r="G9" s="182">
        <v>79.89</v>
      </c>
      <c r="H9" s="182">
        <v>74.67</v>
      </c>
      <c r="I9" s="182">
        <v>70.650000000000006</v>
      </c>
      <c r="J9" s="182">
        <v>66.72</v>
      </c>
      <c r="K9" s="182">
        <v>64.89</v>
      </c>
      <c r="L9" s="182">
        <v>62.28</v>
      </c>
      <c r="M9" s="182">
        <v>62.59</v>
      </c>
      <c r="N9" s="182">
        <v>62.68</v>
      </c>
      <c r="O9" s="182">
        <v>62.34</v>
      </c>
      <c r="P9" s="182">
        <v>62.87</v>
      </c>
      <c r="Q9" s="183"/>
    </row>
    <row r="10" spans="2:17" ht="17.25" x14ac:dyDescent="0.2">
      <c r="B10" s="99">
        <f t="shared" si="0"/>
        <v>4</v>
      </c>
      <c r="C10" s="100" t="s">
        <v>43</v>
      </c>
      <c r="D10" s="99" t="s">
        <v>42</v>
      </c>
      <c r="E10" s="182">
        <v>85</v>
      </c>
      <c r="F10" s="182">
        <v>85</v>
      </c>
      <c r="G10" s="182">
        <v>85</v>
      </c>
      <c r="H10" s="182">
        <v>85</v>
      </c>
      <c r="I10" s="182">
        <v>85</v>
      </c>
      <c r="J10" s="182">
        <v>85</v>
      </c>
      <c r="K10" s="182">
        <v>85</v>
      </c>
      <c r="L10" s="182">
        <v>85</v>
      </c>
      <c r="M10" s="182">
        <v>85</v>
      </c>
      <c r="N10" s="182">
        <v>85</v>
      </c>
      <c r="O10" s="182">
        <v>85</v>
      </c>
      <c r="P10" s="182">
        <v>85</v>
      </c>
      <c r="Q10" s="183">
        <v>85</v>
      </c>
    </row>
    <row r="11" spans="2:17" ht="17.25" x14ac:dyDescent="0.2">
      <c r="B11" s="99">
        <f t="shared" si="0"/>
        <v>5</v>
      </c>
      <c r="C11" s="100" t="s">
        <v>196</v>
      </c>
      <c r="D11" s="99" t="s">
        <v>42</v>
      </c>
      <c r="E11" s="182">
        <v>74.878343621399182</v>
      </c>
      <c r="F11" s="182">
        <v>77.470753683791315</v>
      </c>
      <c r="G11" s="182">
        <v>74.337705761316869</v>
      </c>
      <c r="H11" s="182">
        <v>54.205122461170838</v>
      </c>
      <c r="I11" s="182">
        <v>48.923113301473514</v>
      </c>
      <c r="J11" s="182">
        <v>42.408950617283949</v>
      </c>
      <c r="K11" s="182">
        <v>45.630351453604142</v>
      </c>
      <c r="L11" s="182">
        <v>31.685570987654316</v>
      </c>
      <c r="M11" s="182">
        <v>52.945041816009564</v>
      </c>
      <c r="N11" s="182">
        <v>57.364471326164875</v>
      </c>
      <c r="O11" s="182">
        <v>56.218722442680779</v>
      </c>
      <c r="P11" s="182">
        <v>60.255625248904828</v>
      </c>
      <c r="Q11" s="183"/>
    </row>
    <row r="12" spans="2:17" ht="17.25" x14ac:dyDescent="0.2">
      <c r="B12" s="99">
        <f t="shared" si="0"/>
        <v>6</v>
      </c>
      <c r="C12" s="100" t="s">
        <v>197</v>
      </c>
      <c r="D12" s="99" t="s">
        <v>42</v>
      </c>
      <c r="E12" s="182">
        <v>74.878343621399182</v>
      </c>
      <c r="F12" s="182">
        <v>76.195797915401755</v>
      </c>
      <c r="G12" s="182">
        <v>75.58324006240673</v>
      </c>
      <c r="H12" s="182">
        <v>70.151095426027126</v>
      </c>
      <c r="I12" s="182">
        <v>65.85000100863391</v>
      </c>
      <c r="J12" s="182">
        <v>62.007205862510965</v>
      </c>
      <c r="K12" s="182">
        <v>59.634857793930991</v>
      </c>
      <c r="L12" s="182">
        <v>56.198470071847815</v>
      </c>
      <c r="M12" s="182">
        <v>55.831719977553313</v>
      </c>
      <c r="N12" s="182">
        <v>55.986998708948605</v>
      </c>
      <c r="O12" s="182">
        <v>56.006424650698612</v>
      </c>
      <c r="P12" s="182">
        <v>56.367315660409282</v>
      </c>
      <c r="Q12" s="183"/>
    </row>
    <row r="13" spans="2:17" ht="17.25" x14ac:dyDescent="0.2">
      <c r="B13" s="99">
        <f t="shared" si="0"/>
        <v>7</v>
      </c>
      <c r="C13" s="89" t="s">
        <v>198</v>
      </c>
      <c r="D13" s="102" t="s">
        <v>45</v>
      </c>
      <c r="E13" s="182">
        <v>582.25</v>
      </c>
      <c r="F13" s="182">
        <v>622.49</v>
      </c>
      <c r="G13" s="182">
        <v>578.04999999999995</v>
      </c>
      <c r="H13" s="182">
        <v>435.55</v>
      </c>
      <c r="I13" s="182">
        <v>393.11</v>
      </c>
      <c r="J13" s="182">
        <v>329.77</v>
      </c>
      <c r="K13" s="182">
        <v>366.65</v>
      </c>
      <c r="L13" s="182">
        <v>246.39</v>
      </c>
      <c r="M13" s="182">
        <v>425.42</v>
      </c>
      <c r="N13" s="182">
        <v>460.94</v>
      </c>
      <c r="O13" s="182">
        <v>408.01</v>
      </c>
      <c r="P13" s="182">
        <v>484.17</v>
      </c>
      <c r="Q13" s="183">
        <f>SUM(E13:P13)</f>
        <v>5332.8</v>
      </c>
    </row>
    <row r="14" spans="2:17" ht="17.25" x14ac:dyDescent="0.2">
      <c r="B14" s="99">
        <f t="shared" si="0"/>
        <v>8</v>
      </c>
      <c r="C14" s="89" t="s">
        <v>199</v>
      </c>
      <c r="D14" s="102" t="s">
        <v>45</v>
      </c>
      <c r="E14" s="182">
        <v>53.45</v>
      </c>
      <c r="F14" s="182">
        <v>57.34</v>
      </c>
      <c r="G14" s="182">
        <v>55.22</v>
      </c>
      <c r="H14" s="182">
        <v>44.46</v>
      </c>
      <c r="I14" s="182">
        <v>41.46</v>
      </c>
      <c r="J14" s="182">
        <v>37.51</v>
      </c>
      <c r="K14" s="182">
        <v>40.83</v>
      </c>
      <c r="L14" s="182">
        <v>27.99</v>
      </c>
      <c r="M14" s="182">
        <v>42.69</v>
      </c>
      <c r="N14" s="182">
        <v>44.02</v>
      </c>
      <c r="O14" s="182">
        <v>39.57</v>
      </c>
      <c r="P14" s="182">
        <v>46.88</v>
      </c>
      <c r="Q14" s="183">
        <f t="shared" ref="Q14:Q24" si="1">SUM(E14:P14)</f>
        <v>531.41999999999996</v>
      </c>
    </row>
    <row r="15" spans="2:17" ht="17.25" x14ac:dyDescent="0.2">
      <c r="B15" s="99">
        <f t="shared" si="0"/>
        <v>9</v>
      </c>
      <c r="C15" s="89" t="s">
        <v>216</v>
      </c>
      <c r="D15" s="102" t="s">
        <v>45</v>
      </c>
      <c r="E15" s="182">
        <v>528.79999999999995</v>
      </c>
      <c r="F15" s="182">
        <v>565.15</v>
      </c>
      <c r="G15" s="182">
        <v>522.82999999999993</v>
      </c>
      <c r="H15" s="182">
        <v>391.09000000000003</v>
      </c>
      <c r="I15" s="182">
        <v>351.65000000000003</v>
      </c>
      <c r="J15" s="182">
        <v>292.26</v>
      </c>
      <c r="K15" s="182">
        <v>325.82</v>
      </c>
      <c r="L15" s="182">
        <v>218.39999999999998</v>
      </c>
      <c r="M15" s="182">
        <v>382.73</v>
      </c>
      <c r="N15" s="182">
        <v>416.92</v>
      </c>
      <c r="O15" s="182">
        <v>368.44</v>
      </c>
      <c r="P15" s="182">
        <v>437.29</v>
      </c>
      <c r="Q15" s="183">
        <f t="shared" si="1"/>
        <v>4801.38</v>
      </c>
    </row>
    <row r="16" spans="2:17" ht="17.25" x14ac:dyDescent="0.2">
      <c r="B16" s="99">
        <f t="shared" si="0"/>
        <v>10</v>
      </c>
      <c r="C16" s="89" t="s">
        <v>217</v>
      </c>
      <c r="D16" s="102" t="s">
        <v>45</v>
      </c>
      <c r="E16" s="182">
        <v>0</v>
      </c>
      <c r="F16" s="182">
        <v>0</v>
      </c>
      <c r="G16" s="182">
        <v>0</v>
      </c>
      <c r="H16" s="182">
        <v>0</v>
      </c>
      <c r="I16" s="182">
        <v>0</v>
      </c>
      <c r="J16" s="182">
        <v>0</v>
      </c>
      <c r="K16" s="182">
        <v>0</v>
      </c>
      <c r="L16" s="182">
        <v>0</v>
      </c>
      <c r="M16" s="182">
        <v>0</v>
      </c>
      <c r="N16" s="182">
        <v>0</v>
      </c>
      <c r="O16" s="182">
        <v>0</v>
      </c>
      <c r="P16" s="182">
        <v>0</v>
      </c>
      <c r="Q16" s="183"/>
    </row>
    <row r="17" spans="2:17" ht="17.25" x14ac:dyDescent="0.2">
      <c r="B17" s="99">
        <f t="shared" si="0"/>
        <v>11</v>
      </c>
      <c r="C17" s="89" t="s">
        <v>200</v>
      </c>
      <c r="D17" s="102" t="s">
        <v>204</v>
      </c>
      <c r="E17" s="181">
        <v>3.34</v>
      </c>
      <c r="F17" s="181">
        <v>3.34</v>
      </c>
      <c r="G17" s="181">
        <v>3.34</v>
      </c>
      <c r="H17" s="181">
        <v>3.34</v>
      </c>
      <c r="I17" s="181">
        <v>3.34</v>
      </c>
      <c r="J17" s="181">
        <v>3.34</v>
      </c>
      <c r="K17" s="181">
        <v>3.34</v>
      </c>
      <c r="L17" s="181">
        <v>3.34</v>
      </c>
      <c r="M17" s="181">
        <v>3.34</v>
      </c>
      <c r="N17" s="181">
        <v>3.34</v>
      </c>
      <c r="O17" s="181">
        <v>3.34</v>
      </c>
      <c r="P17" s="181">
        <v>3.34</v>
      </c>
      <c r="Q17" s="183"/>
    </row>
    <row r="18" spans="2:17" ht="17.25" x14ac:dyDescent="0.2">
      <c r="B18" s="99">
        <f t="shared" si="0"/>
        <v>12</v>
      </c>
      <c r="C18" s="89" t="s">
        <v>218</v>
      </c>
      <c r="D18" s="102" t="s">
        <v>205</v>
      </c>
      <c r="E18" s="182">
        <v>107.34750000000001</v>
      </c>
      <c r="F18" s="182">
        <v>107.34750000000001</v>
      </c>
      <c r="G18" s="182">
        <v>107.34750000000001</v>
      </c>
      <c r="H18" s="182">
        <v>107.34750000000001</v>
      </c>
      <c r="I18" s="182">
        <v>107.34750000000001</v>
      </c>
      <c r="J18" s="182">
        <v>107.34750000000001</v>
      </c>
      <c r="K18" s="182">
        <v>107.34750000000001</v>
      </c>
      <c r="L18" s="182">
        <v>107.34750000000001</v>
      </c>
      <c r="M18" s="182">
        <v>107.34750000000001</v>
      </c>
      <c r="N18" s="182">
        <v>107.34750000000001</v>
      </c>
      <c r="O18" s="182">
        <v>107.34750000000001</v>
      </c>
      <c r="P18" s="182">
        <v>107.34750000000001</v>
      </c>
      <c r="Q18" s="183">
        <f t="shared" si="1"/>
        <v>1288.17</v>
      </c>
    </row>
    <row r="19" spans="2:17" ht="17.25" x14ac:dyDescent="0.2">
      <c r="B19" s="99">
        <f t="shared" si="0"/>
        <v>13</v>
      </c>
      <c r="C19" s="89" t="s">
        <v>367</v>
      </c>
      <c r="D19" s="102" t="s">
        <v>204</v>
      </c>
      <c r="E19" s="181">
        <v>3.589</v>
      </c>
      <c r="F19" s="270" t="s">
        <v>479</v>
      </c>
      <c r="G19" s="181">
        <v>3.6219999999999999</v>
      </c>
      <c r="H19" s="181">
        <v>4.0990000000000002</v>
      </c>
      <c r="I19" s="181">
        <v>4.0270000000000001</v>
      </c>
      <c r="J19" s="181">
        <v>4.024</v>
      </c>
      <c r="K19" s="181">
        <v>3.734</v>
      </c>
      <c r="L19" s="181">
        <v>3.7280000000000002</v>
      </c>
      <c r="M19" s="181">
        <v>3.7669999999999999</v>
      </c>
      <c r="N19" s="181">
        <v>3.9180000000000001</v>
      </c>
      <c r="O19" s="181">
        <v>3.9089999999999998</v>
      </c>
      <c r="P19" s="181">
        <v>3.766</v>
      </c>
      <c r="Q19" s="183"/>
    </row>
    <row r="20" spans="2:17" ht="17.25" x14ac:dyDescent="0.2">
      <c r="B20" s="99">
        <f t="shared" si="0"/>
        <v>14</v>
      </c>
      <c r="C20" s="89" t="s">
        <v>201</v>
      </c>
      <c r="D20" s="102" t="s">
        <v>205</v>
      </c>
      <c r="E20" s="182">
        <v>98.949136764705884</v>
      </c>
      <c r="F20" s="182">
        <v>103.19252029411768</v>
      </c>
      <c r="G20" s="182">
        <v>100.54040558823527</v>
      </c>
      <c r="H20" s="182">
        <v>74.524423235294137</v>
      </c>
      <c r="I20" s="182">
        <v>68.917095000000074</v>
      </c>
      <c r="J20" s="182">
        <v>59.445256764705789</v>
      </c>
      <c r="K20" s="182">
        <v>68.083573235294182</v>
      </c>
      <c r="L20" s="182">
        <v>55.580746765000001</v>
      </c>
      <c r="M20" s="182">
        <v>82.177668529000002</v>
      </c>
      <c r="N20" s="182">
        <v>80.182267940999992</v>
      </c>
      <c r="O20" s="182">
        <v>74.436019412000007</v>
      </c>
      <c r="P20" s="182">
        <v>86.610488822999997</v>
      </c>
      <c r="Q20" s="183">
        <f t="shared" si="1"/>
        <v>952.63960235235299</v>
      </c>
    </row>
    <row r="21" spans="2:17" ht="17.25" x14ac:dyDescent="0.2">
      <c r="B21" s="99">
        <f t="shared" si="0"/>
        <v>15</v>
      </c>
      <c r="C21" s="89" t="s">
        <v>368</v>
      </c>
      <c r="D21" s="102" t="s">
        <v>205</v>
      </c>
      <c r="E21" s="182">
        <v>124.9561489</v>
      </c>
      <c r="F21" s="182">
        <v>133.54489774000001</v>
      </c>
      <c r="G21" s="182">
        <v>123.54364202000001</v>
      </c>
      <c r="H21" s="182">
        <v>92.414519740000003</v>
      </c>
      <c r="I21" s="182">
        <v>83.093713500000007</v>
      </c>
      <c r="J21" s="182">
        <v>69.061510600000005</v>
      </c>
      <c r="K21" s="182">
        <v>76.990557100000004</v>
      </c>
      <c r="L21" s="182">
        <v>72.944264000000004</v>
      </c>
      <c r="M21" s="182">
        <v>127.83482600000001</v>
      </c>
      <c r="N21" s="182">
        <v>139.25027800000001</v>
      </c>
      <c r="O21" s="182">
        <v>123.06129799999999</v>
      </c>
      <c r="P21" s="182">
        <v>146.05319</v>
      </c>
      <c r="Q21" s="183">
        <f t="shared" si="1"/>
        <v>1312.7488456000003</v>
      </c>
    </row>
    <row r="22" spans="2:17" ht="17.25" x14ac:dyDescent="0.2">
      <c r="B22" s="99">
        <f t="shared" si="0"/>
        <v>16</v>
      </c>
      <c r="C22" s="89" t="s">
        <v>219</v>
      </c>
      <c r="D22" s="102" t="s">
        <v>205</v>
      </c>
      <c r="E22" s="182">
        <v>64.845968615752128</v>
      </c>
      <c r="F22" s="182">
        <v>76.33210898099999</v>
      </c>
      <c r="G22" s="182">
        <v>65.813330490285153</v>
      </c>
      <c r="H22" s="182">
        <v>67.889914756368313</v>
      </c>
      <c r="I22" s="182">
        <v>58.523854955850958</v>
      </c>
      <c r="J22" s="182">
        <v>48.543214857610799</v>
      </c>
      <c r="K22" s="182">
        <v>44.684340548430107</v>
      </c>
      <c r="L22" s="182">
        <v>8.4706745107902055</v>
      </c>
      <c r="M22" s="182">
        <v>16.34889382885623</v>
      </c>
      <c r="N22" s="182">
        <v>24.099137670609807</v>
      </c>
      <c r="O22" s="182">
        <v>20.96026177660308</v>
      </c>
      <c r="P22" s="182">
        <v>18.613047220499205</v>
      </c>
      <c r="Q22" s="183">
        <f t="shared" si="1"/>
        <v>515.12474821265596</v>
      </c>
    </row>
    <row r="23" spans="2:17" ht="17.25" x14ac:dyDescent="0.2">
      <c r="B23" s="99">
        <f t="shared" si="0"/>
        <v>17</v>
      </c>
      <c r="C23" s="89" t="s">
        <v>202</v>
      </c>
      <c r="D23" s="102" t="s">
        <v>205</v>
      </c>
      <c r="E23" s="182"/>
      <c r="F23" s="182"/>
      <c r="G23" s="182"/>
      <c r="H23" s="182"/>
      <c r="I23" s="182"/>
      <c r="J23" s="182"/>
      <c r="K23" s="182"/>
      <c r="L23" s="182"/>
      <c r="M23" s="182"/>
      <c r="N23" s="182"/>
      <c r="O23" s="182"/>
      <c r="P23" s="182"/>
      <c r="Q23" s="183"/>
    </row>
    <row r="24" spans="2:17" ht="17.25" x14ac:dyDescent="0.2">
      <c r="B24" s="99">
        <f t="shared" si="0"/>
        <v>18</v>
      </c>
      <c r="C24" s="105" t="s">
        <v>155</v>
      </c>
      <c r="D24" s="102" t="s">
        <v>205</v>
      </c>
      <c r="E24" s="183">
        <v>288.75125428045806</v>
      </c>
      <c r="F24" s="183">
        <v>313.06952701511767</v>
      </c>
      <c r="G24" s="183">
        <v>289.89737809852045</v>
      </c>
      <c r="H24" s="183">
        <v>234.82885773166245</v>
      </c>
      <c r="I24" s="183">
        <v>210.53466345585105</v>
      </c>
      <c r="J24" s="183">
        <v>177.0499822223166</v>
      </c>
      <c r="K24" s="183">
        <v>189.75847088372427</v>
      </c>
      <c r="L24" s="183">
        <v>136.99568527579021</v>
      </c>
      <c r="M24" s="183">
        <v>226.36138835785624</v>
      </c>
      <c r="N24" s="183">
        <v>243.53168361160982</v>
      </c>
      <c r="O24" s="183">
        <v>218.45757918860309</v>
      </c>
      <c r="P24" s="183">
        <v>251.2767260434992</v>
      </c>
      <c r="Q24" s="183">
        <f t="shared" si="1"/>
        <v>2780.5131961650095</v>
      </c>
    </row>
    <row r="25" spans="2:17" ht="17.25" x14ac:dyDescent="0.2">
      <c r="B25" s="99">
        <f t="shared" si="0"/>
        <v>19</v>
      </c>
      <c r="C25" s="107" t="s">
        <v>203</v>
      </c>
      <c r="D25" s="102"/>
      <c r="E25" s="182"/>
      <c r="F25" s="182"/>
      <c r="G25" s="182"/>
      <c r="H25" s="182"/>
      <c r="I25" s="182"/>
      <c r="J25" s="182"/>
      <c r="K25" s="182"/>
      <c r="L25" s="182"/>
      <c r="M25" s="182"/>
      <c r="N25" s="182"/>
      <c r="O25" s="182"/>
      <c r="P25" s="182"/>
      <c r="Q25" s="183"/>
    </row>
    <row r="26" spans="2:17" ht="33" x14ac:dyDescent="0.2">
      <c r="B26" s="157" t="s">
        <v>457</v>
      </c>
      <c r="C26" s="158" t="s">
        <v>458</v>
      </c>
      <c r="D26" s="159" t="s">
        <v>205</v>
      </c>
      <c r="E26" s="182"/>
      <c r="F26" s="182"/>
      <c r="G26" s="182"/>
      <c r="H26" s="182"/>
      <c r="I26" s="182"/>
      <c r="J26" s="182"/>
      <c r="K26" s="182"/>
      <c r="L26" s="182"/>
      <c r="M26" s="182"/>
      <c r="N26" s="182"/>
      <c r="O26" s="182"/>
      <c r="P26" s="182"/>
      <c r="Q26" s="183">
        <v>40.28</v>
      </c>
    </row>
    <row r="27" spans="2:17" ht="33" x14ac:dyDescent="0.2">
      <c r="B27" s="157" t="s">
        <v>457</v>
      </c>
      <c r="C27" s="158" t="s">
        <v>459</v>
      </c>
      <c r="D27" s="159" t="s">
        <v>205</v>
      </c>
      <c r="E27" s="182"/>
      <c r="F27" s="182"/>
      <c r="G27" s="182"/>
      <c r="H27" s="182"/>
      <c r="I27" s="182"/>
      <c r="J27" s="182"/>
      <c r="K27" s="182"/>
      <c r="L27" s="182"/>
      <c r="M27" s="182"/>
      <c r="N27" s="182"/>
      <c r="O27" s="182"/>
      <c r="P27" s="182"/>
      <c r="Q27" s="183">
        <v>4.04</v>
      </c>
    </row>
    <row r="28" spans="2:17" ht="17.25" x14ac:dyDescent="0.2">
      <c r="B28" s="157" t="s">
        <v>457</v>
      </c>
      <c r="C28" s="158" t="s">
        <v>105</v>
      </c>
      <c r="D28" s="159" t="s">
        <v>205</v>
      </c>
      <c r="E28" s="182"/>
      <c r="F28" s="182"/>
      <c r="G28" s="182"/>
      <c r="H28" s="182"/>
      <c r="I28" s="182"/>
      <c r="J28" s="182"/>
      <c r="K28" s="182"/>
      <c r="L28" s="182"/>
      <c r="M28" s="182"/>
      <c r="N28" s="182"/>
      <c r="O28" s="182"/>
      <c r="P28" s="182"/>
      <c r="Q28" s="183">
        <v>1.38</v>
      </c>
    </row>
    <row r="29" spans="2:17" ht="49.5" x14ac:dyDescent="0.2">
      <c r="B29" s="157" t="s">
        <v>457</v>
      </c>
      <c r="C29" s="158" t="s">
        <v>460</v>
      </c>
      <c r="D29" s="159" t="s">
        <v>205</v>
      </c>
      <c r="E29" s="183">
        <v>288.75125428045806</v>
      </c>
      <c r="F29" s="183">
        <v>313.06952701511767</v>
      </c>
      <c r="G29" s="183">
        <v>289.89737809852045</v>
      </c>
      <c r="H29" s="183">
        <v>234.82885773166245</v>
      </c>
      <c r="I29" s="183">
        <v>210.53466345585105</v>
      </c>
      <c r="J29" s="183">
        <v>177.0499822223166</v>
      </c>
      <c r="K29" s="183">
        <v>189.75847088372427</v>
      </c>
      <c r="L29" s="183">
        <v>136.99568527579021</v>
      </c>
      <c r="M29" s="183">
        <v>226.36138835785624</v>
      </c>
      <c r="N29" s="183">
        <v>243.53168361160982</v>
      </c>
      <c r="O29" s="183">
        <v>218.45757918860309</v>
      </c>
      <c r="P29" s="183">
        <v>251.2767260434992</v>
      </c>
      <c r="Q29" s="183">
        <f>Q24+Q26+Q27+Q28</f>
        <v>2826.2131961650098</v>
      </c>
    </row>
    <row r="30" spans="2:17" ht="17.25" x14ac:dyDescent="0.2">
      <c r="B30" s="102">
        <f>B25+1</f>
        <v>20</v>
      </c>
      <c r="C30" s="88" t="s">
        <v>170</v>
      </c>
      <c r="D30" s="102" t="s">
        <v>205</v>
      </c>
      <c r="E30" s="182"/>
      <c r="F30" s="182"/>
      <c r="G30" s="182"/>
      <c r="H30" s="182"/>
      <c r="I30" s="182"/>
      <c r="J30" s="182"/>
      <c r="K30" s="182"/>
      <c r="L30" s="182"/>
      <c r="M30" s="182"/>
      <c r="N30" s="182"/>
      <c r="O30" s="182"/>
      <c r="P30" s="182"/>
      <c r="Q30" s="183"/>
    </row>
    <row r="31" spans="2:17" x14ac:dyDescent="0.2">
      <c r="B31" s="102">
        <f>B30+1</f>
        <v>21</v>
      </c>
      <c r="C31" s="88" t="s">
        <v>206</v>
      </c>
      <c r="D31" s="102" t="s">
        <v>205</v>
      </c>
      <c r="E31" s="104"/>
      <c r="F31" s="104"/>
      <c r="G31" s="104"/>
      <c r="H31" s="104"/>
      <c r="I31" s="104"/>
      <c r="J31" s="104"/>
      <c r="K31" s="104"/>
      <c r="L31" s="104"/>
      <c r="M31" s="104"/>
      <c r="N31" s="104"/>
      <c r="O31" s="104"/>
      <c r="P31" s="104"/>
      <c r="Q31" s="108"/>
    </row>
    <row r="33" spans="5:17" x14ac:dyDescent="0.2">
      <c r="E33" s="13">
        <v>78.349999999999994</v>
      </c>
      <c r="F33" s="13">
        <v>81.650000000000006</v>
      </c>
      <c r="G33" s="13">
        <v>79.61</v>
      </c>
      <c r="H33" s="13">
        <v>59.34</v>
      </c>
      <c r="I33" s="13">
        <v>54.82</v>
      </c>
      <c r="J33" s="13">
        <v>46.72</v>
      </c>
      <c r="K33" s="13">
        <v>54.07</v>
      </c>
      <c r="L33" s="13">
        <v>43.65</v>
      </c>
      <c r="M33" s="13">
        <v>65.02</v>
      </c>
      <c r="N33" s="13">
        <v>63.54</v>
      </c>
      <c r="O33" s="13">
        <v>58.52</v>
      </c>
      <c r="P33" s="13">
        <v>68.67</v>
      </c>
      <c r="Q33" s="36">
        <v>62.86</v>
      </c>
    </row>
    <row r="34" spans="5:17" x14ac:dyDescent="0.2">
      <c r="E34" s="13">
        <v>78.349999999999994</v>
      </c>
      <c r="F34" s="13">
        <v>80.03</v>
      </c>
      <c r="G34" s="13">
        <v>79.89</v>
      </c>
      <c r="H34" s="13">
        <v>74.67</v>
      </c>
      <c r="I34" s="13">
        <v>70.650000000000006</v>
      </c>
      <c r="J34" s="13">
        <v>66.72</v>
      </c>
      <c r="K34" s="13">
        <v>64.89</v>
      </c>
      <c r="L34" s="13">
        <v>62.28</v>
      </c>
      <c r="M34" s="13">
        <v>62.59</v>
      </c>
      <c r="N34" s="13">
        <v>62.68</v>
      </c>
      <c r="O34" s="13">
        <v>62.34</v>
      </c>
      <c r="P34" s="13">
        <v>62.87</v>
      </c>
    </row>
    <row r="35" spans="5:17" x14ac:dyDescent="0.2">
      <c r="E35" s="13">
        <v>85</v>
      </c>
      <c r="F35" s="13">
        <v>85</v>
      </c>
      <c r="G35" s="13">
        <v>85</v>
      </c>
      <c r="H35" s="13">
        <v>85</v>
      </c>
      <c r="I35" s="13">
        <v>85</v>
      </c>
      <c r="J35" s="13">
        <v>85</v>
      </c>
      <c r="K35" s="13">
        <v>85</v>
      </c>
      <c r="L35" s="13">
        <v>85</v>
      </c>
      <c r="M35" s="13">
        <v>85</v>
      </c>
      <c r="N35" s="13">
        <v>85</v>
      </c>
      <c r="O35" s="13">
        <v>85</v>
      </c>
      <c r="P35" s="13">
        <v>85</v>
      </c>
      <c r="Q35" s="36">
        <v>85</v>
      </c>
    </row>
    <row r="36" spans="5:17" x14ac:dyDescent="0.2">
      <c r="E36" s="13">
        <v>74.878343621399182</v>
      </c>
      <c r="F36" s="13">
        <v>77.470753683791315</v>
      </c>
      <c r="G36" s="13">
        <v>74.337705761316869</v>
      </c>
      <c r="H36" s="13">
        <v>54.205122461170838</v>
      </c>
      <c r="I36" s="13">
        <v>48.923113301473514</v>
      </c>
      <c r="J36" s="13">
        <v>42.408950617283949</v>
      </c>
      <c r="K36" s="13">
        <v>45.630351453604142</v>
      </c>
      <c r="L36" s="13">
        <v>31.685570987654316</v>
      </c>
      <c r="M36" s="13">
        <v>52.945041816009564</v>
      </c>
      <c r="N36" s="13">
        <v>57.364471326164875</v>
      </c>
      <c r="O36" s="13">
        <v>56.218722442680779</v>
      </c>
      <c r="P36" s="13">
        <v>60.255625248904828</v>
      </c>
    </row>
    <row r="37" spans="5:17" x14ac:dyDescent="0.2">
      <c r="E37" s="13">
        <v>74.878343621399182</v>
      </c>
      <c r="F37" s="13">
        <v>76.195797915401755</v>
      </c>
      <c r="G37" s="13">
        <v>75.58324006240673</v>
      </c>
      <c r="H37" s="13">
        <v>70.151095426027126</v>
      </c>
      <c r="I37" s="13">
        <v>65.85000100863391</v>
      </c>
      <c r="J37" s="13">
        <v>62.007205862510965</v>
      </c>
      <c r="K37" s="13">
        <v>59.634857793930991</v>
      </c>
      <c r="L37" s="13">
        <v>56.198470071847815</v>
      </c>
      <c r="M37" s="13">
        <v>55.831719977553313</v>
      </c>
      <c r="N37" s="13">
        <v>55.986998708948605</v>
      </c>
      <c r="O37" s="13">
        <v>56.006424650698612</v>
      </c>
      <c r="P37" s="13">
        <v>56.367315660409282</v>
      </c>
    </row>
    <row r="38" spans="5:17" x14ac:dyDescent="0.2">
      <c r="E38" s="13">
        <v>582.25</v>
      </c>
      <c r="F38" s="13">
        <v>622.49</v>
      </c>
      <c r="G38" s="13">
        <v>578.04999999999995</v>
      </c>
      <c r="H38" s="13">
        <v>435.55</v>
      </c>
      <c r="I38" s="13">
        <v>393.11</v>
      </c>
      <c r="J38" s="13">
        <v>329.77</v>
      </c>
      <c r="K38" s="13">
        <v>366.65</v>
      </c>
      <c r="L38" s="13">
        <v>246.39</v>
      </c>
      <c r="M38" s="13">
        <v>425.42</v>
      </c>
      <c r="N38" s="13">
        <v>460.94</v>
      </c>
      <c r="O38" s="13">
        <v>408.01</v>
      </c>
      <c r="P38" s="13">
        <v>484.17</v>
      </c>
      <c r="Q38" s="36">
        <v>5332.8</v>
      </c>
    </row>
    <row r="39" spans="5:17" x14ac:dyDescent="0.2">
      <c r="E39" s="13">
        <v>53.45</v>
      </c>
      <c r="F39" s="13">
        <v>57.34</v>
      </c>
      <c r="G39" s="13">
        <v>55.22</v>
      </c>
      <c r="H39" s="13">
        <v>44.46</v>
      </c>
      <c r="I39" s="13">
        <v>41.46</v>
      </c>
      <c r="J39" s="13">
        <v>37.51</v>
      </c>
      <c r="K39" s="13">
        <v>40.83</v>
      </c>
      <c r="L39" s="13">
        <v>27.99</v>
      </c>
      <c r="M39" s="13">
        <v>42.69</v>
      </c>
      <c r="N39" s="13">
        <v>44.02</v>
      </c>
      <c r="O39" s="13">
        <v>39.57</v>
      </c>
      <c r="P39" s="13">
        <v>46.88</v>
      </c>
      <c r="Q39" s="36">
        <v>531.41999999999996</v>
      </c>
    </row>
    <row r="40" spans="5:17" x14ac:dyDescent="0.2">
      <c r="E40" s="13">
        <v>528.79999999999995</v>
      </c>
      <c r="F40" s="13">
        <v>565.15</v>
      </c>
      <c r="G40" s="13">
        <v>522.82999999999993</v>
      </c>
      <c r="H40" s="13">
        <v>391.09000000000003</v>
      </c>
      <c r="I40" s="13">
        <v>351.65000000000003</v>
      </c>
      <c r="J40" s="13">
        <v>292.26</v>
      </c>
      <c r="K40" s="13">
        <v>325.82</v>
      </c>
      <c r="L40" s="13">
        <v>218.39999999999998</v>
      </c>
      <c r="M40" s="13">
        <v>382.73</v>
      </c>
      <c r="N40" s="13">
        <v>416.92</v>
      </c>
      <c r="O40" s="13">
        <v>368.44</v>
      </c>
      <c r="P40" s="13">
        <v>437.29</v>
      </c>
      <c r="Q40" s="36">
        <v>4801.38</v>
      </c>
    </row>
    <row r="41" spans="5:17" x14ac:dyDescent="0.2">
      <c r="E41" s="13">
        <v>0</v>
      </c>
      <c r="F41" s="13">
        <v>0</v>
      </c>
      <c r="G41" s="13">
        <v>0</v>
      </c>
      <c r="H41" s="13">
        <v>0</v>
      </c>
      <c r="I41" s="13">
        <v>0</v>
      </c>
      <c r="J41" s="13">
        <v>0</v>
      </c>
      <c r="K41" s="13">
        <v>0</v>
      </c>
      <c r="L41" s="13">
        <v>0</v>
      </c>
      <c r="M41" s="13">
        <v>0</v>
      </c>
      <c r="N41" s="13">
        <v>0</v>
      </c>
      <c r="O41" s="13">
        <v>0</v>
      </c>
      <c r="P41" s="13">
        <v>0</v>
      </c>
      <c r="Q41" s="36">
        <v>0</v>
      </c>
    </row>
    <row r="42" spans="5:17" x14ac:dyDescent="0.2">
      <c r="E42" s="13">
        <v>3.34</v>
      </c>
      <c r="F42" s="13">
        <v>3.34</v>
      </c>
      <c r="G42" s="13">
        <v>3.34</v>
      </c>
      <c r="H42" s="13">
        <v>3.34</v>
      </c>
      <c r="I42" s="13">
        <v>3.34</v>
      </c>
      <c r="J42" s="13">
        <v>3.34</v>
      </c>
      <c r="K42" s="13">
        <v>3.34</v>
      </c>
      <c r="L42" s="13">
        <v>3.34</v>
      </c>
      <c r="M42" s="13">
        <v>3.34</v>
      </c>
      <c r="N42" s="13">
        <v>3.34</v>
      </c>
      <c r="O42" s="13">
        <v>3.34</v>
      </c>
      <c r="P42" s="13">
        <v>3.34</v>
      </c>
    </row>
    <row r="43" spans="5:17" x14ac:dyDescent="0.2">
      <c r="E43" s="13">
        <v>107.34750000000001</v>
      </c>
      <c r="F43" s="13">
        <v>107.34750000000001</v>
      </c>
      <c r="G43" s="13">
        <v>107.34750000000001</v>
      </c>
      <c r="H43" s="13">
        <v>107.34750000000001</v>
      </c>
      <c r="I43" s="13">
        <v>107.34750000000001</v>
      </c>
      <c r="J43" s="13">
        <v>107.34750000000001</v>
      </c>
      <c r="K43" s="13">
        <v>107.34750000000001</v>
      </c>
      <c r="L43" s="13">
        <v>107.34750000000001</v>
      </c>
      <c r="M43" s="13">
        <v>107.34750000000001</v>
      </c>
      <c r="N43" s="13">
        <v>107.34750000000001</v>
      </c>
      <c r="O43" s="13">
        <v>107.34750000000001</v>
      </c>
      <c r="P43" s="13">
        <v>107.34750000000001</v>
      </c>
      <c r="Q43" s="36">
        <v>1288.17</v>
      </c>
    </row>
    <row r="44" spans="5:17" x14ac:dyDescent="0.2">
      <c r="E44" s="13">
        <v>3.589</v>
      </c>
      <c r="F44" s="13" t="s">
        <v>479</v>
      </c>
      <c r="G44" s="13">
        <v>3.6219999999999999</v>
      </c>
      <c r="H44" s="13">
        <v>4.0990000000000002</v>
      </c>
      <c r="I44" s="13">
        <v>4.0270000000000001</v>
      </c>
      <c r="J44" s="13">
        <v>4.024</v>
      </c>
      <c r="K44" s="13">
        <v>3.734</v>
      </c>
      <c r="L44" s="13">
        <v>3.7280000000000002</v>
      </c>
      <c r="M44" s="13">
        <v>3.7669999999999999</v>
      </c>
      <c r="N44" s="13">
        <v>3.9180000000000001</v>
      </c>
      <c r="O44" s="13">
        <v>3.9089999999999998</v>
      </c>
      <c r="P44" s="13">
        <v>3.766</v>
      </c>
    </row>
    <row r="45" spans="5:17" x14ac:dyDescent="0.2">
      <c r="E45" s="13">
        <v>98.949136764705884</v>
      </c>
      <c r="F45" s="13">
        <v>103.19252029411768</v>
      </c>
      <c r="G45" s="13">
        <v>100.54040558823527</v>
      </c>
      <c r="H45" s="13">
        <v>74.524423235294137</v>
      </c>
      <c r="I45" s="13">
        <v>68.917095000000074</v>
      </c>
      <c r="J45" s="13">
        <v>59.445256764705789</v>
      </c>
      <c r="K45" s="13">
        <v>68.083573235294182</v>
      </c>
      <c r="L45" s="13">
        <v>55.580746765000001</v>
      </c>
      <c r="M45" s="13">
        <v>82.177668529000002</v>
      </c>
      <c r="N45" s="13">
        <v>80.182267940999992</v>
      </c>
      <c r="O45" s="13">
        <v>74.436019412000007</v>
      </c>
      <c r="P45" s="13">
        <v>86.610488822999997</v>
      </c>
      <c r="Q45" s="36">
        <v>952.63960235235299</v>
      </c>
    </row>
    <row r="46" spans="5:17" x14ac:dyDescent="0.2">
      <c r="E46" s="13">
        <v>124.9561489</v>
      </c>
      <c r="F46" s="13">
        <v>133.54489774000001</v>
      </c>
      <c r="G46" s="13">
        <v>123.54364202000001</v>
      </c>
      <c r="H46" s="13">
        <v>92.414519740000003</v>
      </c>
      <c r="I46" s="13">
        <v>83.093713500000007</v>
      </c>
      <c r="J46" s="13">
        <v>69.061510600000005</v>
      </c>
      <c r="K46" s="13">
        <v>76.990557100000004</v>
      </c>
      <c r="L46" s="13">
        <v>72.944264000000004</v>
      </c>
      <c r="M46" s="13">
        <v>127.83482600000001</v>
      </c>
      <c r="N46" s="13">
        <v>139.25027800000001</v>
      </c>
      <c r="O46" s="13">
        <v>123.06129799999999</v>
      </c>
      <c r="P46" s="13">
        <v>146.05319</v>
      </c>
      <c r="Q46" s="36">
        <v>1312.7488456000003</v>
      </c>
    </row>
    <row r="47" spans="5:17" x14ac:dyDescent="0.2">
      <c r="E47" s="13">
        <v>64.845968615752128</v>
      </c>
      <c r="F47" s="13">
        <v>76.33210898099999</v>
      </c>
      <c r="G47" s="13">
        <v>65.813330490285153</v>
      </c>
      <c r="H47" s="13">
        <v>67.889914756368313</v>
      </c>
      <c r="I47" s="13">
        <v>58.523854955850958</v>
      </c>
      <c r="J47" s="13">
        <v>48.543214857610799</v>
      </c>
      <c r="K47" s="13">
        <v>44.684340548430107</v>
      </c>
      <c r="L47" s="13">
        <v>8.4706745107902055</v>
      </c>
      <c r="M47" s="13">
        <v>16.34889382885623</v>
      </c>
      <c r="N47" s="13">
        <v>24.099137670609807</v>
      </c>
      <c r="O47" s="13">
        <v>20.96026177660308</v>
      </c>
      <c r="P47" s="13">
        <v>18.613047220499205</v>
      </c>
      <c r="Q47" s="36">
        <v>515.12474821265596</v>
      </c>
    </row>
    <row r="49" spans="5:17" x14ac:dyDescent="0.2">
      <c r="E49" s="13">
        <v>288.75125428045806</v>
      </c>
      <c r="F49" s="13">
        <v>313.06952701511767</v>
      </c>
      <c r="G49" s="13">
        <v>289.89737809852045</v>
      </c>
      <c r="H49" s="13">
        <v>234.82885773166245</v>
      </c>
      <c r="I49" s="13">
        <v>210.53466345585105</v>
      </c>
      <c r="J49" s="13">
        <v>177.0499822223166</v>
      </c>
      <c r="K49" s="13">
        <v>189.75847088372427</v>
      </c>
      <c r="L49" s="13">
        <v>136.99568527579021</v>
      </c>
      <c r="M49" s="13">
        <v>226.36138835785624</v>
      </c>
      <c r="N49" s="13">
        <v>243.53168361160982</v>
      </c>
      <c r="O49" s="13">
        <v>218.45757918860309</v>
      </c>
      <c r="P49" s="13">
        <v>251.2767260434992</v>
      </c>
      <c r="Q49" s="36">
        <v>2780.513196165009</v>
      </c>
    </row>
    <row r="51" spans="5:17" x14ac:dyDescent="0.2">
      <c r="Q51" s="36">
        <v>40.28</v>
      </c>
    </row>
    <row r="52" spans="5:17" x14ac:dyDescent="0.2">
      <c r="Q52" s="36">
        <v>4.04</v>
      </c>
    </row>
    <row r="53" spans="5:17" x14ac:dyDescent="0.2">
      <c r="Q53" s="36">
        <v>1.38</v>
      </c>
    </row>
    <row r="54" spans="5:17" x14ac:dyDescent="0.2">
      <c r="E54" s="13">
        <v>288.75125428045806</v>
      </c>
      <c r="F54" s="13">
        <v>313.06952701511767</v>
      </c>
      <c r="G54" s="13">
        <v>289.89737809852045</v>
      </c>
      <c r="H54" s="13">
        <v>234.82885773166245</v>
      </c>
      <c r="I54" s="13">
        <v>210.53466345585105</v>
      </c>
      <c r="J54" s="13">
        <v>177.0499822223166</v>
      </c>
      <c r="K54" s="13">
        <v>189.75847088372427</v>
      </c>
      <c r="L54" s="13">
        <v>136.99568527579021</v>
      </c>
      <c r="M54" s="13">
        <v>226.36138835785624</v>
      </c>
      <c r="N54" s="13">
        <v>243.53168361160982</v>
      </c>
      <c r="O54" s="13">
        <v>218.45757918860309</v>
      </c>
      <c r="P54" s="13">
        <v>251.2767260434992</v>
      </c>
      <c r="Q54" s="36">
        <v>2826.2131961650093</v>
      </c>
    </row>
    <row r="55" spans="5:17" ht="14.25" x14ac:dyDescent="0.2">
      <c r="E55" s="148">
        <f>E7-E32</f>
        <v>85</v>
      </c>
      <c r="F55" s="148">
        <f t="shared" ref="F55:Q55" si="2">F7-F32</f>
        <v>85</v>
      </c>
      <c r="G55" s="148">
        <f t="shared" si="2"/>
        <v>85</v>
      </c>
      <c r="H55" s="148">
        <f t="shared" si="2"/>
        <v>85</v>
      </c>
      <c r="I55" s="148">
        <f t="shared" si="2"/>
        <v>85</v>
      </c>
      <c r="J55" s="148">
        <f t="shared" si="2"/>
        <v>85</v>
      </c>
      <c r="K55" s="148">
        <f t="shared" si="2"/>
        <v>85</v>
      </c>
      <c r="L55" s="148">
        <f t="shared" si="2"/>
        <v>85</v>
      </c>
      <c r="M55" s="148">
        <f t="shared" si="2"/>
        <v>85</v>
      </c>
      <c r="N55" s="148">
        <f t="shared" si="2"/>
        <v>85</v>
      </c>
      <c r="O55" s="148">
        <f t="shared" si="2"/>
        <v>85</v>
      </c>
      <c r="P55" s="148">
        <f t="shared" si="2"/>
        <v>85</v>
      </c>
      <c r="Q55" s="148">
        <f t="shared" si="2"/>
        <v>85</v>
      </c>
    </row>
    <row r="56" spans="5:17" ht="14.25" x14ac:dyDescent="0.2">
      <c r="E56" s="148">
        <f t="shared" ref="E56:Q56" si="3">E8-E33</f>
        <v>0</v>
      </c>
      <c r="F56" s="148">
        <f t="shared" si="3"/>
        <v>0</v>
      </c>
      <c r="G56" s="148">
        <f t="shared" si="3"/>
        <v>0</v>
      </c>
      <c r="H56" s="148">
        <f t="shared" si="3"/>
        <v>0</v>
      </c>
      <c r="I56" s="148">
        <f t="shared" si="3"/>
        <v>0</v>
      </c>
      <c r="J56" s="148">
        <f t="shared" si="3"/>
        <v>0</v>
      </c>
      <c r="K56" s="148">
        <f t="shared" si="3"/>
        <v>0</v>
      </c>
      <c r="L56" s="148">
        <f t="shared" si="3"/>
        <v>0</v>
      </c>
      <c r="M56" s="148">
        <f t="shared" si="3"/>
        <v>0</v>
      </c>
      <c r="N56" s="148">
        <f t="shared" si="3"/>
        <v>0</v>
      </c>
      <c r="O56" s="148">
        <f t="shared" si="3"/>
        <v>0</v>
      </c>
      <c r="P56" s="148">
        <f t="shared" si="3"/>
        <v>0</v>
      </c>
      <c r="Q56" s="148">
        <f t="shared" si="3"/>
        <v>0</v>
      </c>
    </row>
    <row r="57" spans="5:17" ht="14.25" x14ac:dyDescent="0.2">
      <c r="E57" s="148">
        <f t="shared" ref="E57:Q57" si="4">E9-E34</f>
        <v>0</v>
      </c>
      <c r="F57" s="148">
        <f t="shared" si="4"/>
        <v>0</v>
      </c>
      <c r="G57" s="148">
        <f t="shared" si="4"/>
        <v>0</v>
      </c>
      <c r="H57" s="148">
        <f t="shared" si="4"/>
        <v>0</v>
      </c>
      <c r="I57" s="148">
        <f t="shared" si="4"/>
        <v>0</v>
      </c>
      <c r="J57" s="148">
        <f t="shared" si="4"/>
        <v>0</v>
      </c>
      <c r="K57" s="148">
        <f t="shared" si="4"/>
        <v>0</v>
      </c>
      <c r="L57" s="148">
        <f t="shared" si="4"/>
        <v>0</v>
      </c>
      <c r="M57" s="148">
        <f t="shared" si="4"/>
        <v>0</v>
      </c>
      <c r="N57" s="148">
        <f t="shared" si="4"/>
        <v>0</v>
      </c>
      <c r="O57" s="148">
        <f t="shared" si="4"/>
        <v>0</v>
      </c>
      <c r="P57" s="148">
        <f t="shared" si="4"/>
        <v>0</v>
      </c>
      <c r="Q57" s="148">
        <f t="shared" si="4"/>
        <v>0</v>
      </c>
    </row>
    <row r="58" spans="5:17" ht="14.25" x14ac:dyDescent="0.2">
      <c r="E58" s="148">
        <f t="shared" ref="E58:Q58" si="5">E10-E35</f>
        <v>0</v>
      </c>
      <c r="F58" s="148">
        <f t="shared" si="5"/>
        <v>0</v>
      </c>
      <c r="G58" s="148">
        <f t="shared" si="5"/>
        <v>0</v>
      </c>
      <c r="H58" s="148">
        <f t="shared" si="5"/>
        <v>0</v>
      </c>
      <c r="I58" s="148">
        <f t="shared" si="5"/>
        <v>0</v>
      </c>
      <c r="J58" s="148">
        <f t="shared" si="5"/>
        <v>0</v>
      </c>
      <c r="K58" s="148">
        <f t="shared" si="5"/>
        <v>0</v>
      </c>
      <c r="L58" s="148">
        <f t="shared" si="5"/>
        <v>0</v>
      </c>
      <c r="M58" s="148">
        <f t="shared" si="5"/>
        <v>0</v>
      </c>
      <c r="N58" s="148">
        <f t="shared" si="5"/>
        <v>0</v>
      </c>
      <c r="O58" s="148">
        <f t="shared" si="5"/>
        <v>0</v>
      </c>
      <c r="P58" s="148">
        <f t="shared" si="5"/>
        <v>0</v>
      </c>
      <c r="Q58" s="148">
        <f t="shared" si="5"/>
        <v>0</v>
      </c>
    </row>
    <row r="59" spans="5:17" ht="14.25" x14ac:dyDescent="0.2">
      <c r="E59" s="148">
        <f t="shared" ref="E59:Q59" si="6">E11-E36</f>
        <v>0</v>
      </c>
      <c r="F59" s="148">
        <f t="shared" si="6"/>
        <v>0</v>
      </c>
      <c r="G59" s="148">
        <f t="shared" si="6"/>
        <v>0</v>
      </c>
      <c r="H59" s="148">
        <f t="shared" si="6"/>
        <v>0</v>
      </c>
      <c r="I59" s="148">
        <f t="shared" si="6"/>
        <v>0</v>
      </c>
      <c r="J59" s="148">
        <f t="shared" si="6"/>
        <v>0</v>
      </c>
      <c r="K59" s="148">
        <f t="shared" si="6"/>
        <v>0</v>
      </c>
      <c r="L59" s="148">
        <f t="shared" si="6"/>
        <v>0</v>
      </c>
      <c r="M59" s="148">
        <f t="shared" si="6"/>
        <v>0</v>
      </c>
      <c r="N59" s="148">
        <f t="shared" si="6"/>
        <v>0</v>
      </c>
      <c r="O59" s="148">
        <f t="shared" si="6"/>
        <v>0</v>
      </c>
      <c r="P59" s="148">
        <f t="shared" si="6"/>
        <v>0</v>
      </c>
      <c r="Q59" s="148">
        <f t="shared" si="6"/>
        <v>0</v>
      </c>
    </row>
    <row r="60" spans="5:17" ht="14.25" x14ac:dyDescent="0.2">
      <c r="E60" s="148">
        <f t="shared" ref="E60:Q60" si="7">E12-E37</f>
        <v>0</v>
      </c>
      <c r="F60" s="148">
        <f t="shared" si="7"/>
        <v>0</v>
      </c>
      <c r="G60" s="148">
        <f t="shared" si="7"/>
        <v>0</v>
      </c>
      <c r="H60" s="148">
        <f t="shared" si="7"/>
        <v>0</v>
      </c>
      <c r="I60" s="148">
        <f t="shared" si="7"/>
        <v>0</v>
      </c>
      <c r="J60" s="148">
        <f t="shared" si="7"/>
        <v>0</v>
      </c>
      <c r="K60" s="148">
        <f t="shared" si="7"/>
        <v>0</v>
      </c>
      <c r="L60" s="148">
        <f t="shared" si="7"/>
        <v>0</v>
      </c>
      <c r="M60" s="148">
        <f t="shared" si="7"/>
        <v>0</v>
      </c>
      <c r="N60" s="148">
        <f t="shared" si="7"/>
        <v>0</v>
      </c>
      <c r="O60" s="148">
        <f t="shared" si="7"/>
        <v>0</v>
      </c>
      <c r="P60" s="148">
        <f t="shared" si="7"/>
        <v>0</v>
      </c>
      <c r="Q60" s="148">
        <f t="shared" si="7"/>
        <v>0</v>
      </c>
    </row>
    <row r="61" spans="5:17" ht="14.25" x14ac:dyDescent="0.2">
      <c r="E61" s="148">
        <f t="shared" ref="E61:Q61" si="8">E13-E38</f>
        <v>0</v>
      </c>
      <c r="F61" s="148">
        <f t="shared" si="8"/>
        <v>0</v>
      </c>
      <c r="G61" s="148">
        <f t="shared" si="8"/>
        <v>0</v>
      </c>
      <c r="H61" s="148">
        <f t="shared" si="8"/>
        <v>0</v>
      </c>
      <c r="I61" s="148">
        <f t="shared" si="8"/>
        <v>0</v>
      </c>
      <c r="J61" s="148">
        <f t="shared" si="8"/>
        <v>0</v>
      </c>
      <c r="K61" s="148">
        <f t="shared" si="8"/>
        <v>0</v>
      </c>
      <c r="L61" s="148">
        <f t="shared" si="8"/>
        <v>0</v>
      </c>
      <c r="M61" s="148">
        <f t="shared" si="8"/>
        <v>0</v>
      </c>
      <c r="N61" s="148">
        <f t="shared" si="8"/>
        <v>0</v>
      </c>
      <c r="O61" s="148">
        <f t="shared" si="8"/>
        <v>0</v>
      </c>
      <c r="P61" s="148">
        <f t="shared" si="8"/>
        <v>0</v>
      </c>
      <c r="Q61" s="148">
        <f t="shared" si="8"/>
        <v>0</v>
      </c>
    </row>
    <row r="62" spans="5:17" ht="14.25" x14ac:dyDescent="0.2">
      <c r="E62" s="148">
        <f t="shared" ref="E62:Q62" si="9">E14-E39</f>
        <v>0</v>
      </c>
      <c r="F62" s="148">
        <f t="shared" si="9"/>
        <v>0</v>
      </c>
      <c r="G62" s="148">
        <f t="shared" si="9"/>
        <v>0</v>
      </c>
      <c r="H62" s="148">
        <f t="shared" si="9"/>
        <v>0</v>
      </c>
      <c r="I62" s="148">
        <f t="shared" si="9"/>
        <v>0</v>
      </c>
      <c r="J62" s="148">
        <f t="shared" si="9"/>
        <v>0</v>
      </c>
      <c r="K62" s="148">
        <f t="shared" si="9"/>
        <v>0</v>
      </c>
      <c r="L62" s="148">
        <f t="shared" si="9"/>
        <v>0</v>
      </c>
      <c r="M62" s="148">
        <f t="shared" si="9"/>
        <v>0</v>
      </c>
      <c r="N62" s="148">
        <f t="shared" si="9"/>
        <v>0</v>
      </c>
      <c r="O62" s="148">
        <f t="shared" si="9"/>
        <v>0</v>
      </c>
      <c r="P62" s="148">
        <f t="shared" si="9"/>
        <v>0</v>
      </c>
      <c r="Q62" s="148">
        <f t="shared" si="9"/>
        <v>0</v>
      </c>
    </row>
    <row r="63" spans="5:17" ht="14.25" x14ac:dyDescent="0.2">
      <c r="E63" s="148">
        <f t="shared" ref="E63:Q63" si="10">E15-E40</f>
        <v>0</v>
      </c>
      <c r="F63" s="148">
        <f t="shared" si="10"/>
        <v>0</v>
      </c>
      <c r="G63" s="148">
        <f t="shared" si="10"/>
        <v>0</v>
      </c>
      <c r="H63" s="148">
        <f t="shared" si="10"/>
        <v>0</v>
      </c>
      <c r="I63" s="148">
        <f t="shared" si="10"/>
        <v>0</v>
      </c>
      <c r="J63" s="148">
        <f t="shared" si="10"/>
        <v>0</v>
      </c>
      <c r="K63" s="148">
        <f t="shared" si="10"/>
        <v>0</v>
      </c>
      <c r="L63" s="148">
        <f t="shared" si="10"/>
        <v>0</v>
      </c>
      <c r="M63" s="148">
        <f t="shared" si="10"/>
        <v>0</v>
      </c>
      <c r="N63" s="148">
        <f t="shared" si="10"/>
        <v>0</v>
      </c>
      <c r="O63" s="148">
        <f t="shared" si="10"/>
        <v>0</v>
      </c>
      <c r="P63" s="148">
        <f t="shared" si="10"/>
        <v>0</v>
      </c>
      <c r="Q63" s="148">
        <f t="shared" si="10"/>
        <v>0</v>
      </c>
    </row>
    <row r="64" spans="5:17" ht="14.25" x14ac:dyDescent="0.2">
      <c r="E64" s="148">
        <f t="shared" ref="E64:Q64" si="11">E16-E41</f>
        <v>0</v>
      </c>
      <c r="F64" s="148">
        <f t="shared" si="11"/>
        <v>0</v>
      </c>
      <c r="G64" s="148">
        <f t="shared" si="11"/>
        <v>0</v>
      </c>
      <c r="H64" s="148">
        <f t="shared" si="11"/>
        <v>0</v>
      </c>
      <c r="I64" s="148">
        <f t="shared" si="11"/>
        <v>0</v>
      </c>
      <c r="J64" s="148">
        <f t="shared" si="11"/>
        <v>0</v>
      </c>
      <c r="K64" s="148">
        <f t="shared" si="11"/>
        <v>0</v>
      </c>
      <c r="L64" s="148">
        <f t="shared" si="11"/>
        <v>0</v>
      </c>
      <c r="M64" s="148">
        <f t="shared" si="11"/>
        <v>0</v>
      </c>
      <c r="N64" s="148">
        <f t="shared" si="11"/>
        <v>0</v>
      </c>
      <c r="O64" s="148">
        <f t="shared" si="11"/>
        <v>0</v>
      </c>
      <c r="P64" s="148">
        <f t="shared" si="11"/>
        <v>0</v>
      </c>
      <c r="Q64" s="148">
        <f t="shared" si="11"/>
        <v>0</v>
      </c>
    </row>
    <row r="65" spans="5:17" ht="14.25" x14ac:dyDescent="0.2">
      <c r="E65" s="148">
        <f t="shared" ref="E65:Q65" si="12">E17-E42</f>
        <v>0</v>
      </c>
      <c r="F65" s="148">
        <f t="shared" si="12"/>
        <v>0</v>
      </c>
      <c r="G65" s="148">
        <f t="shared" si="12"/>
        <v>0</v>
      </c>
      <c r="H65" s="148">
        <f t="shared" si="12"/>
        <v>0</v>
      </c>
      <c r="I65" s="148">
        <f t="shared" si="12"/>
        <v>0</v>
      </c>
      <c r="J65" s="148">
        <f t="shared" si="12"/>
        <v>0</v>
      </c>
      <c r="K65" s="148">
        <f t="shared" si="12"/>
        <v>0</v>
      </c>
      <c r="L65" s="148">
        <f t="shared" si="12"/>
        <v>0</v>
      </c>
      <c r="M65" s="148">
        <f t="shared" si="12"/>
        <v>0</v>
      </c>
      <c r="N65" s="148">
        <f t="shared" si="12"/>
        <v>0</v>
      </c>
      <c r="O65" s="148">
        <f t="shared" si="12"/>
        <v>0</v>
      </c>
      <c r="P65" s="148">
        <f t="shared" si="12"/>
        <v>0</v>
      </c>
      <c r="Q65" s="148">
        <f t="shared" si="12"/>
        <v>0</v>
      </c>
    </row>
    <row r="66" spans="5:17" ht="14.25" x14ac:dyDescent="0.2">
      <c r="E66" s="148">
        <f t="shared" ref="E66:Q66" si="13">E18-E43</f>
        <v>0</v>
      </c>
      <c r="F66" s="148">
        <f t="shared" si="13"/>
        <v>0</v>
      </c>
      <c r="G66" s="148">
        <f t="shared" si="13"/>
        <v>0</v>
      </c>
      <c r="H66" s="148">
        <f t="shared" si="13"/>
        <v>0</v>
      </c>
      <c r="I66" s="148">
        <f t="shared" si="13"/>
        <v>0</v>
      </c>
      <c r="J66" s="148">
        <f t="shared" si="13"/>
        <v>0</v>
      </c>
      <c r="K66" s="148">
        <f t="shared" si="13"/>
        <v>0</v>
      </c>
      <c r="L66" s="148">
        <f t="shared" si="13"/>
        <v>0</v>
      </c>
      <c r="M66" s="148">
        <f t="shared" si="13"/>
        <v>0</v>
      </c>
      <c r="N66" s="148">
        <f t="shared" si="13"/>
        <v>0</v>
      </c>
      <c r="O66" s="148">
        <f t="shared" si="13"/>
        <v>0</v>
      </c>
      <c r="P66" s="148">
        <f t="shared" si="13"/>
        <v>0</v>
      </c>
      <c r="Q66" s="148">
        <f t="shared" si="13"/>
        <v>0</v>
      </c>
    </row>
    <row r="67" spans="5:17" ht="14.25" x14ac:dyDescent="0.2">
      <c r="E67" s="148">
        <f t="shared" ref="E67:Q67" si="14">E19-E44</f>
        <v>0</v>
      </c>
      <c r="F67" s="148" t="e">
        <f t="shared" si="14"/>
        <v>#VALUE!</v>
      </c>
      <c r="G67" s="148">
        <f t="shared" si="14"/>
        <v>0</v>
      </c>
      <c r="H67" s="148">
        <f t="shared" si="14"/>
        <v>0</v>
      </c>
      <c r="I67" s="148">
        <f t="shared" si="14"/>
        <v>0</v>
      </c>
      <c r="J67" s="148">
        <f t="shared" si="14"/>
        <v>0</v>
      </c>
      <c r="K67" s="148">
        <f t="shared" si="14"/>
        <v>0</v>
      </c>
      <c r="L67" s="148">
        <f t="shared" si="14"/>
        <v>0</v>
      </c>
      <c r="M67" s="148">
        <f t="shared" si="14"/>
        <v>0</v>
      </c>
      <c r="N67" s="148">
        <f t="shared" si="14"/>
        <v>0</v>
      </c>
      <c r="O67" s="148">
        <f t="shared" si="14"/>
        <v>0</v>
      </c>
      <c r="P67" s="148">
        <f t="shared" si="14"/>
        <v>0</v>
      </c>
      <c r="Q67" s="148">
        <f t="shared" si="14"/>
        <v>0</v>
      </c>
    </row>
    <row r="68" spans="5:17" ht="14.25" x14ac:dyDescent="0.2">
      <c r="E68" s="148">
        <f t="shared" ref="E68:Q68" si="15">E20-E45</f>
        <v>0</v>
      </c>
      <c r="F68" s="148">
        <f t="shared" si="15"/>
        <v>0</v>
      </c>
      <c r="G68" s="148">
        <f t="shared" si="15"/>
        <v>0</v>
      </c>
      <c r="H68" s="148">
        <f t="shared" si="15"/>
        <v>0</v>
      </c>
      <c r="I68" s="148">
        <f t="shared" si="15"/>
        <v>0</v>
      </c>
      <c r="J68" s="148">
        <f t="shared" si="15"/>
        <v>0</v>
      </c>
      <c r="K68" s="148">
        <f t="shared" si="15"/>
        <v>0</v>
      </c>
      <c r="L68" s="148">
        <f t="shared" si="15"/>
        <v>0</v>
      </c>
      <c r="M68" s="148">
        <f t="shared" si="15"/>
        <v>0</v>
      </c>
      <c r="N68" s="148">
        <f t="shared" si="15"/>
        <v>0</v>
      </c>
      <c r="O68" s="148">
        <f t="shared" si="15"/>
        <v>0</v>
      </c>
      <c r="P68" s="148">
        <f t="shared" si="15"/>
        <v>0</v>
      </c>
      <c r="Q68" s="148">
        <f t="shared" si="15"/>
        <v>0</v>
      </c>
    </row>
    <row r="69" spans="5:17" ht="14.25" x14ac:dyDescent="0.2">
      <c r="E69" s="148">
        <f t="shared" ref="E69:Q69" si="16">E21-E46</f>
        <v>0</v>
      </c>
      <c r="F69" s="148">
        <f t="shared" si="16"/>
        <v>0</v>
      </c>
      <c r="G69" s="148">
        <f t="shared" si="16"/>
        <v>0</v>
      </c>
      <c r="H69" s="148">
        <f t="shared" si="16"/>
        <v>0</v>
      </c>
      <c r="I69" s="148">
        <f t="shared" si="16"/>
        <v>0</v>
      </c>
      <c r="J69" s="148">
        <f t="shared" si="16"/>
        <v>0</v>
      </c>
      <c r="K69" s="148">
        <f t="shared" si="16"/>
        <v>0</v>
      </c>
      <c r="L69" s="148">
        <f t="shared" si="16"/>
        <v>0</v>
      </c>
      <c r="M69" s="148">
        <f t="shared" si="16"/>
        <v>0</v>
      </c>
      <c r="N69" s="148">
        <f t="shared" si="16"/>
        <v>0</v>
      </c>
      <c r="O69" s="148">
        <f t="shared" si="16"/>
        <v>0</v>
      </c>
      <c r="P69" s="148">
        <f t="shared" si="16"/>
        <v>0</v>
      </c>
      <c r="Q69" s="148">
        <f t="shared" si="16"/>
        <v>0</v>
      </c>
    </row>
    <row r="70" spans="5:17" ht="14.25" x14ac:dyDescent="0.2">
      <c r="E70" s="148">
        <f t="shared" ref="E70:Q70" si="17">E22-E47</f>
        <v>0</v>
      </c>
      <c r="F70" s="148">
        <f t="shared" si="17"/>
        <v>0</v>
      </c>
      <c r="G70" s="148">
        <f t="shared" si="17"/>
        <v>0</v>
      </c>
      <c r="H70" s="148">
        <f t="shared" si="17"/>
        <v>0</v>
      </c>
      <c r="I70" s="148">
        <f t="shared" si="17"/>
        <v>0</v>
      </c>
      <c r="J70" s="148">
        <f t="shared" si="17"/>
        <v>0</v>
      </c>
      <c r="K70" s="148">
        <f t="shared" si="17"/>
        <v>0</v>
      </c>
      <c r="L70" s="148">
        <f t="shared" si="17"/>
        <v>0</v>
      </c>
      <c r="M70" s="148">
        <f t="shared" si="17"/>
        <v>0</v>
      </c>
      <c r="N70" s="148">
        <f t="shared" si="17"/>
        <v>0</v>
      </c>
      <c r="O70" s="148">
        <f t="shared" si="17"/>
        <v>0</v>
      </c>
      <c r="P70" s="148">
        <f t="shared" si="17"/>
        <v>0</v>
      </c>
      <c r="Q70" s="148">
        <f t="shared" si="17"/>
        <v>0</v>
      </c>
    </row>
    <row r="71" spans="5:17" ht="14.25" x14ac:dyDescent="0.2">
      <c r="E71" s="148">
        <f t="shared" ref="E71:Q71" si="18">E23-E48</f>
        <v>0</v>
      </c>
      <c r="F71" s="148">
        <f t="shared" si="18"/>
        <v>0</v>
      </c>
      <c r="G71" s="148">
        <f t="shared" si="18"/>
        <v>0</v>
      </c>
      <c r="H71" s="148">
        <f t="shared" si="18"/>
        <v>0</v>
      </c>
      <c r="I71" s="148">
        <f t="shared" si="18"/>
        <v>0</v>
      </c>
      <c r="J71" s="148">
        <f t="shared" si="18"/>
        <v>0</v>
      </c>
      <c r="K71" s="148">
        <f t="shared" si="18"/>
        <v>0</v>
      </c>
      <c r="L71" s="148">
        <f t="shared" si="18"/>
        <v>0</v>
      </c>
      <c r="M71" s="148">
        <f t="shared" si="18"/>
        <v>0</v>
      </c>
      <c r="N71" s="148">
        <f t="shared" si="18"/>
        <v>0</v>
      </c>
      <c r="O71" s="148">
        <f t="shared" si="18"/>
        <v>0</v>
      </c>
      <c r="P71" s="148">
        <f t="shared" si="18"/>
        <v>0</v>
      </c>
      <c r="Q71" s="148">
        <f t="shared" si="18"/>
        <v>0</v>
      </c>
    </row>
    <row r="72" spans="5:17" ht="14.25" x14ac:dyDescent="0.2">
      <c r="E72" s="148">
        <f t="shared" ref="E72:Q72" si="19">E24-E49</f>
        <v>0</v>
      </c>
      <c r="F72" s="148">
        <f t="shared" si="19"/>
        <v>0</v>
      </c>
      <c r="G72" s="148">
        <f t="shared" si="19"/>
        <v>0</v>
      </c>
      <c r="H72" s="148">
        <f t="shared" si="19"/>
        <v>0</v>
      </c>
      <c r="I72" s="148">
        <f t="shared" si="19"/>
        <v>0</v>
      </c>
      <c r="J72" s="148">
        <f t="shared" si="19"/>
        <v>0</v>
      </c>
      <c r="K72" s="148">
        <f t="shared" si="19"/>
        <v>0</v>
      </c>
      <c r="L72" s="148">
        <f t="shared" si="19"/>
        <v>0</v>
      </c>
      <c r="M72" s="148">
        <f t="shared" si="19"/>
        <v>0</v>
      </c>
      <c r="N72" s="148">
        <f t="shared" si="19"/>
        <v>0</v>
      </c>
      <c r="O72" s="148">
        <f t="shared" si="19"/>
        <v>0</v>
      </c>
      <c r="P72" s="148">
        <f t="shared" si="19"/>
        <v>0</v>
      </c>
      <c r="Q72" s="148">
        <f t="shared" si="19"/>
        <v>0</v>
      </c>
    </row>
    <row r="73" spans="5:17" ht="14.25" x14ac:dyDescent="0.2">
      <c r="E73" s="148">
        <f t="shared" ref="E73:Q73" si="20">E25-E50</f>
        <v>0</v>
      </c>
      <c r="F73" s="148">
        <f t="shared" si="20"/>
        <v>0</v>
      </c>
      <c r="G73" s="148">
        <f t="shared" si="20"/>
        <v>0</v>
      </c>
      <c r="H73" s="148">
        <f t="shared" si="20"/>
        <v>0</v>
      </c>
      <c r="I73" s="148">
        <f t="shared" si="20"/>
        <v>0</v>
      </c>
      <c r="J73" s="148">
        <f t="shared" si="20"/>
        <v>0</v>
      </c>
      <c r="K73" s="148">
        <f t="shared" si="20"/>
        <v>0</v>
      </c>
      <c r="L73" s="148">
        <f t="shared" si="20"/>
        <v>0</v>
      </c>
      <c r="M73" s="148">
        <f t="shared" si="20"/>
        <v>0</v>
      </c>
      <c r="N73" s="148">
        <f t="shared" si="20"/>
        <v>0</v>
      </c>
      <c r="O73" s="148">
        <f t="shared" si="20"/>
        <v>0</v>
      </c>
      <c r="P73" s="148">
        <f t="shared" si="20"/>
        <v>0</v>
      </c>
      <c r="Q73" s="148">
        <f t="shared" si="20"/>
        <v>0</v>
      </c>
    </row>
    <row r="74" spans="5:17" ht="14.25" x14ac:dyDescent="0.2">
      <c r="E74" s="148">
        <f t="shared" ref="E74:Q74" si="21">E26-E51</f>
        <v>0</v>
      </c>
      <c r="F74" s="148">
        <f t="shared" si="21"/>
        <v>0</v>
      </c>
      <c r="G74" s="148">
        <f t="shared" si="21"/>
        <v>0</v>
      </c>
      <c r="H74" s="148">
        <f t="shared" si="21"/>
        <v>0</v>
      </c>
      <c r="I74" s="148">
        <f t="shared" si="21"/>
        <v>0</v>
      </c>
      <c r="J74" s="148">
        <f t="shared" si="21"/>
        <v>0</v>
      </c>
      <c r="K74" s="148">
        <f t="shared" si="21"/>
        <v>0</v>
      </c>
      <c r="L74" s="148">
        <f t="shared" si="21"/>
        <v>0</v>
      </c>
      <c r="M74" s="148">
        <f t="shared" si="21"/>
        <v>0</v>
      </c>
      <c r="N74" s="148">
        <f t="shared" si="21"/>
        <v>0</v>
      </c>
      <c r="O74" s="148">
        <f t="shared" si="21"/>
        <v>0</v>
      </c>
      <c r="P74" s="148">
        <f t="shared" si="21"/>
        <v>0</v>
      </c>
      <c r="Q74" s="148">
        <f t="shared" si="21"/>
        <v>0</v>
      </c>
    </row>
    <row r="75" spans="5:17" ht="14.25" x14ac:dyDescent="0.2">
      <c r="E75" s="148">
        <f t="shared" ref="E75:Q75" si="22">E27-E52</f>
        <v>0</v>
      </c>
      <c r="F75" s="148">
        <f t="shared" si="22"/>
        <v>0</v>
      </c>
      <c r="G75" s="148">
        <f t="shared" si="22"/>
        <v>0</v>
      </c>
      <c r="H75" s="148">
        <f t="shared" si="22"/>
        <v>0</v>
      </c>
      <c r="I75" s="148">
        <f t="shared" si="22"/>
        <v>0</v>
      </c>
      <c r="J75" s="148">
        <f t="shared" si="22"/>
        <v>0</v>
      </c>
      <c r="K75" s="148">
        <f t="shared" si="22"/>
        <v>0</v>
      </c>
      <c r="L75" s="148">
        <f t="shared" si="22"/>
        <v>0</v>
      </c>
      <c r="M75" s="148">
        <f t="shared" si="22"/>
        <v>0</v>
      </c>
      <c r="N75" s="148">
        <f t="shared" si="22"/>
        <v>0</v>
      </c>
      <c r="O75" s="148">
        <f t="shared" si="22"/>
        <v>0</v>
      </c>
      <c r="P75" s="148">
        <f t="shared" si="22"/>
        <v>0</v>
      </c>
      <c r="Q75" s="148">
        <f t="shared" si="22"/>
        <v>0</v>
      </c>
    </row>
    <row r="76" spans="5:17" ht="14.25" x14ac:dyDescent="0.2">
      <c r="E76" s="148">
        <f t="shared" ref="E76:Q76" si="23">E28-E53</f>
        <v>0</v>
      </c>
      <c r="F76" s="148">
        <f t="shared" si="23"/>
        <v>0</v>
      </c>
      <c r="G76" s="148">
        <f t="shared" si="23"/>
        <v>0</v>
      </c>
      <c r="H76" s="148">
        <f t="shared" si="23"/>
        <v>0</v>
      </c>
      <c r="I76" s="148">
        <f t="shared" si="23"/>
        <v>0</v>
      </c>
      <c r="J76" s="148">
        <f t="shared" si="23"/>
        <v>0</v>
      </c>
      <c r="K76" s="148">
        <f t="shared" si="23"/>
        <v>0</v>
      </c>
      <c r="L76" s="148">
        <f t="shared" si="23"/>
        <v>0</v>
      </c>
      <c r="M76" s="148">
        <f t="shared" si="23"/>
        <v>0</v>
      </c>
      <c r="N76" s="148">
        <f t="shared" si="23"/>
        <v>0</v>
      </c>
      <c r="O76" s="148">
        <f t="shared" si="23"/>
        <v>0</v>
      </c>
      <c r="P76" s="148">
        <f t="shared" si="23"/>
        <v>0</v>
      </c>
      <c r="Q76" s="148">
        <f t="shared" si="23"/>
        <v>0</v>
      </c>
    </row>
    <row r="77" spans="5:17" ht="14.25" x14ac:dyDescent="0.2">
      <c r="E77" s="148">
        <f t="shared" ref="E77:Q77" si="24">E29-E54</f>
        <v>0</v>
      </c>
      <c r="F77" s="148">
        <f t="shared" si="24"/>
        <v>0</v>
      </c>
      <c r="G77" s="148">
        <f t="shared" si="24"/>
        <v>0</v>
      </c>
      <c r="H77" s="148">
        <f t="shared" si="24"/>
        <v>0</v>
      </c>
      <c r="I77" s="148">
        <f t="shared" si="24"/>
        <v>0</v>
      </c>
      <c r="J77" s="148">
        <f t="shared" si="24"/>
        <v>0</v>
      </c>
      <c r="K77" s="148">
        <f t="shared" si="24"/>
        <v>0</v>
      </c>
      <c r="L77" s="148">
        <f t="shared" si="24"/>
        <v>0</v>
      </c>
      <c r="M77" s="148">
        <f t="shared" si="24"/>
        <v>0</v>
      </c>
      <c r="N77" s="148">
        <f t="shared" si="24"/>
        <v>0</v>
      </c>
      <c r="O77" s="148">
        <f t="shared" si="24"/>
        <v>0</v>
      </c>
      <c r="P77" s="148">
        <f t="shared" si="24"/>
        <v>0</v>
      </c>
      <c r="Q77" s="148">
        <f t="shared" si="24"/>
        <v>0</v>
      </c>
    </row>
    <row r="78" spans="5:17" ht="14.25" x14ac:dyDescent="0.2">
      <c r="E78" s="148">
        <f t="shared" ref="E78:Q78" si="25">E30-E55</f>
        <v>-85</v>
      </c>
      <c r="F78" s="148">
        <f t="shared" si="25"/>
        <v>-85</v>
      </c>
      <c r="G78" s="148">
        <f t="shared" si="25"/>
        <v>-85</v>
      </c>
      <c r="H78" s="148">
        <f t="shared" si="25"/>
        <v>-85</v>
      </c>
      <c r="I78" s="148">
        <f t="shared" si="25"/>
        <v>-85</v>
      </c>
      <c r="J78" s="148">
        <f t="shared" si="25"/>
        <v>-85</v>
      </c>
      <c r="K78" s="148">
        <f t="shared" si="25"/>
        <v>-85</v>
      </c>
      <c r="L78" s="148">
        <f t="shared" si="25"/>
        <v>-85</v>
      </c>
      <c r="M78" s="148">
        <f t="shared" si="25"/>
        <v>-85</v>
      </c>
      <c r="N78" s="148">
        <f t="shared" si="25"/>
        <v>-85</v>
      </c>
      <c r="O78" s="148">
        <f t="shared" si="25"/>
        <v>-85</v>
      </c>
      <c r="P78" s="148">
        <f t="shared" si="25"/>
        <v>-85</v>
      </c>
      <c r="Q78" s="148">
        <f t="shared" si="25"/>
        <v>-85</v>
      </c>
    </row>
    <row r="79" spans="5:17" ht="14.25" x14ac:dyDescent="0.2">
      <c r="E79" s="148">
        <f t="shared" ref="E79:Q79" si="26">E31-E56</f>
        <v>0</v>
      </c>
      <c r="F79" s="148">
        <f t="shared" si="26"/>
        <v>0</v>
      </c>
      <c r="G79" s="148">
        <f t="shared" si="26"/>
        <v>0</v>
      </c>
      <c r="H79" s="148">
        <f t="shared" si="26"/>
        <v>0</v>
      </c>
      <c r="I79" s="148">
        <f t="shared" si="26"/>
        <v>0</v>
      </c>
      <c r="J79" s="148">
        <f t="shared" si="26"/>
        <v>0</v>
      </c>
      <c r="K79" s="148">
        <f t="shared" si="26"/>
        <v>0</v>
      </c>
      <c r="L79" s="148">
        <f t="shared" si="26"/>
        <v>0</v>
      </c>
      <c r="M79" s="148">
        <f t="shared" si="26"/>
        <v>0</v>
      </c>
      <c r="N79" s="148">
        <f t="shared" si="26"/>
        <v>0</v>
      </c>
      <c r="O79" s="148">
        <f t="shared" si="26"/>
        <v>0</v>
      </c>
      <c r="P79" s="148">
        <f t="shared" si="26"/>
        <v>0</v>
      </c>
      <c r="Q79" s="148">
        <f t="shared" si="26"/>
        <v>0</v>
      </c>
    </row>
    <row r="80" spans="5:17" ht="14.25" x14ac:dyDescent="0.2">
      <c r="E80" s="148">
        <f t="shared" ref="E80:Q80" si="27">E32-E57</f>
        <v>0</v>
      </c>
      <c r="F80" s="148">
        <f t="shared" si="27"/>
        <v>0</v>
      </c>
      <c r="G80" s="148">
        <f t="shared" si="27"/>
        <v>0</v>
      </c>
      <c r="H80" s="148">
        <f t="shared" si="27"/>
        <v>0</v>
      </c>
      <c r="I80" s="148">
        <f t="shared" si="27"/>
        <v>0</v>
      </c>
      <c r="J80" s="148">
        <f t="shared" si="27"/>
        <v>0</v>
      </c>
      <c r="K80" s="148">
        <f t="shared" si="27"/>
        <v>0</v>
      </c>
      <c r="L80" s="148">
        <f t="shared" si="27"/>
        <v>0</v>
      </c>
      <c r="M80" s="148">
        <f t="shared" si="27"/>
        <v>0</v>
      </c>
      <c r="N80" s="148">
        <f t="shared" si="27"/>
        <v>0</v>
      </c>
      <c r="O80" s="148">
        <f t="shared" si="27"/>
        <v>0</v>
      </c>
      <c r="P80" s="148">
        <f t="shared" si="27"/>
        <v>0</v>
      </c>
      <c r="Q80" s="148">
        <f t="shared" si="27"/>
        <v>0</v>
      </c>
    </row>
    <row r="81" spans="5:17" ht="14.25" x14ac:dyDescent="0.2">
      <c r="E81" s="148">
        <f t="shared" ref="E81:Q81" si="28">E33-E58</f>
        <v>78.349999999999994</v>
      </c>
      <c r="F81" s="148">
        <f t="shared" si="28"/>
        <v>81.650000000000006</v>
      </c>
      <c r="G81" s="148">
        <f t="shared" si="28"/>
        <v>79.61</v>
      </c>
      <c r="H81" s="148">
        <f t="shared" si="28"/>
        <v>59.34</v>
      </c>
      <c r="I81" s="148">
        <f t="shared" si="28"/>
        <v>54.82</v>
      </c>
      <c r="J81" s="148">
        <f t="shared" si="28"/>
        <v>46.72</v>
      </c>
      <c r="K81" s="148">
        <f t="shared" si="28"/>
        <v>54.07</v>
      </c>
      <c r="L81" s="148">
        <f t="shared" si="28"/>
        <v>43.65</v>
      </c>
      <c r="M81" s="148">
        <f t="shared" si="28"/>
        <v>65.02</v>
      </c>
      <c r="N81" s="148">
        <f t="shared" si="28"/>
        <v>63.54</v>
      </c>
      <c r="O81" s="148">
        <f t="shared" si="28"/>
        <v>58.52</v>
      </c>
      <c r="P81" s="148">
        <f t="shared" si="28"/>
        <v>68.67</v>
      </c>
      <c r="Q81" s="148">
        <f t="shared" si="28"/>
        <v>62.86</v>
      </c>
    </row>
    <row r="82" spans="5:17" ht="14.25" x14ac:dyDescent="0.2">
      <c r="E82" s="148">
        <f t="shared" ref="E82:Q82" si="29">E34-E59</f>
        <v>78.349999999999994</v>
      </c>
      <c r="F82" s="148">
        <f t="shared" si="29"/>
        <v>80.03</v>
      </c>
      <c r="G82" s="148">
        <f t="shared" si="29"/>
        <v>79.89</v>
      </c>
      <c r="H82" s="148">
        <f t="shared" si="29"/>
        <v>74.67</v>
      </c>
      <c r="I82" s="148">
        <f t="shared" si="29"/>
        <v>70.650000000000006</v>
      </c>
      <c r="J82" s="148">
        <f t="shared" si="29"/>
        <v>66.72</v>
      </c>
      <c r="K82" s="148">
        <f t="shared" si="29"/>
        <v>64.89</v>
      </c>
      <c r="L82" s="148">
        <f t="shared" si="29"/>
        <v>62.28</v>
      </c>
      <c r="M82" s="148">
        <f t="shared" si="29"/>
        <v>62.59</v>
      </c>
      <c r="N82" s="148">
        <f t="shared" si="29"/>
        <v>62.68</v>
      </c>
      <c r="O82" s="148">
        <f t="shared" si="29"/>
        <v>62.34</v>
      </c>
      <c r="P82" s="148">
        <f t="shared" si="29"/>
        <v>62.87</v>
      </c>
      <c r="Q82" s="148">
        <f t="shared" si="29"/>
        <v>0</v>
      </c>
    </row>
  </sheetData>
  <pageMargins left="0.2" right="0.2" top="0.25" bottom="0.25" header="0.3" footer="0.3"/>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view="pageBreakPreview" zoomScale="95" zoomScaleNormal="95" zoomScaleSheetLayoutView="95" workbookViewId="0">
      <selection activeCell="J15" sqref="J15"/>
    </sheetView>
  </sheetViews>
  <sheetFormatPr defaultColWidth="9.28515625" defaultRowHeight="14.25" x14ac:dyDescent="0.2"/>
  <cols>
    <col min="1" max="1" width="3.28515625" style="5" customWidth="1"/>
    <col min="2" max="2" width="5.7109375" style="5" customWidth="1"/>
    <col min="3" max="3" width="20.7109375" style="5" customWidth="1"/>
    <col min="4" max="4" width="11.85546875" style="5" customWidth="1"/>
    <col min="5" max="5" width="11.5703125" style="5" customWidth="1"/>
    <col min="6" max="6" width="11.7109375" style="5" customWidth="1"/>
    <col min="7" max="7" width="10.7109375" style="5" customWidth="1"/>
    <col min="8" max="8" width="9.5703125" style="5" customWidth="1"/>
    <col min="9" max="10" width="10.28515625" style="5" customWidth="1"/>
    <col min="11" max="11" width="10" style="5" customWidth="1"/>
    <col min="12" max="16384" width="9.28515625" style="5"/>
  </cols>
  <sheetData>
    <row r="1" spans="2:11" ht="15" x14ac:dyDescent="0.2">
      <c r="C1" s="36"/>
      <c r="D1" s="36"/>
      <c r="E1" s="36"/>
      <c r="F1" s="36"/>
      <c r="G1" s="36"/>
      <c r="I1" s="33"/>
      <c r="J1" s="33"/>
      <c r="K1" s="36"/>
    </row>
    <row r="2" spans="2:11" ht="15" x14ac:dyDescent="0.2">
      <c r="B2" s="279" t="s">
        <v>403</v>
      </c>
      <c r="C2" s="279"/>
      <c r="D2" s="279"/>
      <c r="E2" s="279"/>
      <c r="F2" s="279"/>
      <c r="G2" s="279"/>
      <c r="H2" s="279"/>
      <c r="I2" s="279"/>
      <c r="J2" s="279"/>
      <c r="K2" s="279"/>
    </row>
    <row r="3" spans="2:11" ht="15" x14ac:dyDescent="0.2">
      <c r="B3" s="35"/>
      <c r="C3" s="35"/>
      <c r="D3" s="35"/>
      <c r="E3" s="35"/>
      <c r="F3" s="35" t="str">
        <f>'F1'!$B$3</f>
        <v>BTPS</v>
      </c>
      <c r="G3" s="35"/>
      <c r="H3" s="35"/>
      <c r="I3" s="35"/>
      <c r="J3" s="35"/>
      <c r="K3" s="35"/>
    </row>
    <row r="4" spans="2:11" ht="15" x14ac:dyDescent="0.2">
      <c r="B4" s="279" t="s">
        <v>377</v>
      </c>
      <c r="C4" s="279"/>
      <c r="D4" s="279"/>
      <c r="E4" s="279"/>
      <c r="F4" s="279"/>
      <c r="G4" s="279"/>
      <c r="H4" s="279"/>
      <c r="I4" s="279"/>
      <c r="J4" s="279"/>
      <c r="K4" s="279"/>
    </row>
    <row r="5" spans="2:11" ht="15" x14ac:dyDescent="0.2">
      <c r="B5" s="35"/>
      <c r="C5" s="35"/>
      <c r="D5" s="35"/>
      <c r="E5" s="35"/>
      <c r="F5" s="35"/>
      <c r="G5" s="35"/>
      <c r="H5" s="35"/>
      <c r="I5" s="35"/>
      <c r="J5" s="35"/>
      <c r="K5" s="35"/>
    </row>
    <row r="6" spans="2:11" ht="15" x14ac:dyDescent="0.2">
      <c r="B6" s="293" t="s">
        <v>68</v>
      </c>
      <c r="C6" s="293"/>
      <c r="D6" s="293"/>
      <c r="E6" s="293"/>
      <c r="F6" s="293"/>
      <c r="G6" s="293"/>
      <c r="H6" s="293"/>
      <c r="I6" s="293"/>
      <c r="J6" s="293"/>
      <c r="K6" s="293"/>
    </row>
    <row r="7" spans="2:11" ht="15" x14ac:dyDescent="0.2">
      <c r="K7" s="26" t="s">
        <v>4</v>
      </c>
    </row>
    <row r="8" spans="2:11" ht="15" customHeight="1" x14ac:dyDescent="0.2">
      <c r="B8" s="294" t="s">
        <v>193</v>
      </c>
      <c r="C8" s="294" t="s">
        <v>18</v>
      </c>
      <c r="D8" s="295" t="s">
        <v>1</v>
      </c>
      <c r="E8" s="290" t="s">
        <v>404</v>
      </c>
      <c r="F8" s="291"/>
      <c r="G8" s="292"/>
      <c r="H8" s="290" t="s">
        <v>405</v>
      </c>
      <c r="I8" s="292"/>
      <c r="J8" s="290" t="s">
        <v>467</v>
      </c>
      <c r="K8" s="292"/>
    </row>
    <row r="9" spans="2:11" ht="75" x14ac:dyDescent="0.2">
      <c r="B9" s="294"/>
      <c r="C9" s="294"/>
      <c r="D9" s="296"/>
      <c r="E9" s="15" t="s">
        <v>370</v>
      </c>
      <c r="F9" s="15" t="s">
        <v>240</v>
      </c>
      <c r="G9" s="15" t="s">
        <v>465</v>
      </c>
      <c r="H9" s="15" t="s">
        <v>370</v>
      </c>
      <c r="I9" s="15" t="s">
        <v>239</v>
      </c>
      <c r="J9" s="15" t="s">
        <v>370</v>
      </c>
      <c r="K9" s="15" t="s">
        <v>239</v>
      </c>
    </row>
    <row r="10" spans="2:11" ht="45" x14ac:dyDescent="0.2">
      <c r="B10" s="294"/>
      <c r="C10" s="294"/>
      <c r="D10" s="297"/>
      <c r="E10" s="15" t="s">
        <v>10</v>
      </c>
      <c r="F10" s="15" t="s">
        <v>12</v>
      </c>
      <c r="G10" s="15" t="s">
        <v>231</v>
      </c>
      <c r="H10" s="15" t="s">
        <v>10</v>
      </c>
      <c r="I10" s="15" t="s">
        <v>463</v>
      </c>
      <c r="J10" s="15" t="s">
        <v>10</v>
      </c>
      <c r="K10" s="15" t="s">
        <v>463</v>
      </c>
    </row>
    <row r="11" spans="2:11" x14ac:dyDescent="0.2">
      <c r="B11" s="20">
        <v>1</v>
      </c>
      <c r="C11" s="29" t="s">
        <v>69</v>
      </c>
      <c r="D11" s="29" t="s">
        <v>24</v>
      </c>
      <c r="E11" s="125"/>
      <c r="F11" s="145">
        <f>F2.1!D36</f>
        <v>354.74</v>
      </c>
      <c r="G11" s="145">
        <f>F11</f>
        <v>354.74</v>
      </c>
      <c r="H11" s="125"/>
      <c r="I11" s="145">
        <f>F2.1!E36</f>
        <v>372.89</v>
      </c>
      <c r="J11" s="125"/>
      <c r="K11" s="145">
        <f>F2.1!F36</f>
        <v>387.81</v>
      </c>
    </row>
    <row r="12" spans="2:11" x14ac:dyDescent="0.2">
      <c r="B12" s="20">
        <f>B11+1</f>
        <v>2</v>
      </c>
      <c r="C12" s="37" t="s">
        <v>241</v>
      </c>
      <c r="D12" s="37" t="s">
        <v>25</v>
      </c>
      <c r="E12" s="130"/>
      <c r="F12" s="146">
        <f>F2.2!D38</f>
        <v>19.7</v>
      </c>
      <c r="G12" s="145">
        <f t="shared" ref="G12:G13" si="0">F12</f>
        <v>19.7</v>
      </c>
      <c r="H12" s="125"/>
      <c r="I12" s="145">
        <f>F2.2!E38</f>
        <v>21.21</v>
      </c>
      <c r="J12" s="125"/>
      <c r="K12" s="145">
        <f>F2.2!F38</f>
        <v>22.47</v>
      </c>
    </row>
    <row r="13" spans="2:11" x14ac:dyDescent="0.2">
      <c r="B13" s="20">
        <f>B12+1</f>
        <v>3</v>
      </c>
      <c r="C13" s="29" t="s">
        <v>211</v>
      </c>
      <c r="D13" s="29" t="s">
        <v>267</v>
      </c>
      <c r="E13" s="125"/>
      <c r="F13" s="145">
        <f>F2.3!D18</f>
        <v>76.94</v>
      </c>
      <c r="G13" s="145">
        <f t="shared" si="0"/>
        <v>76.94</v>
      </c>
      <c r="H13" s="125"/>
      <c r="I13" s="145">
        <f>F2.3!E18</f>
        <v>81.63</v>
      </c>
      <c r="J13" s="125"/>
      <c r="K13" s="145">
        <f>F2.3!F18</f>
        <v>86.52</v>
      </c>
    </row>
    <row r="14" spans="2:11" ht="15" x14ac:dyDescent="0.2">
      <c r="B14" s="20">
        <f>B13+1</f>
        <v>4</v>
      </c>
      <c r="C14" s="29" t="s">
        <v>70</v>
      </c>
      <c r="D14" s="29"/>
      <c r="E14" s="147">
        <v>189.59</v>
      </c>
      <c r="F14" s="147">
        <f t="shared" ref="F14:K14" si="1">ROUND(SUM(F11:F13),2)</f>
        <v>451.38</v>
      </c>
      <c r="G14" s="147">
        <f t="shared" si="1"/>
        <v>451.38</v>
      </c>
      <c r="H14" s="147">
        <v>200.86</v>
      </c>
      <c r="I14" s="147">
        <f t="shared" si="1"/>
        <v>475.73</v>
      </c>
      <c r="J14" s="147">
        <v>212.3</v>
      </c>
      <c r="K14" s="147">
        <f t="shared" si="1"/>
        <v>496.8</v>
      </c>
    </row>
    <row r="15" spans="2:11" x14ac:dyDescent="0.2">
      <c r="B15" s="50" t="s">
        <v>242</v>
      </c>
      <c r="C15" s="51"/>
      <c r="D15" s="48"/>
      <c r="E15" s="162"/>
      <c r="F15" s="48"/>
      <c r="G15" s="49"/>
      <c r="H15" s="49"/>
      <c r="I15" s="49"/>
      <c r="J15" s="49"/>
      <c r="K15" s="49"/>
    </row>
    <row r="16" spans="2:11" x14ac:dyDescent="0.2">
      <c r="B16" s="52">
        <v>1</v>
      </c>
      <c r="C16" s="51" t="s">
        <v>243</v>
      </c>
    </row>
  </sheetData>
  <mergeCells count="9">
    <mergeCell ref="B4:K4"/>
    <mergeCell ref="B2:K2"/>
    <mergeCell ref="B6:K6"/>
    <mergeCell ref="B8:B10"/>
    <mergeCell ref="C8:C10"/>
    <mergeCell ref="H8:I8"/>
    <mergeCell ref="E8:G8"/>
    <mergeCell ref="D8:D10"/>
    <mergeCell ref="J8:K8"/>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38"/>
  <sheetViews>
    <sheetView showGridLines="0" view="pageBreakPreview" zoomScale="98" zoomScaleNormal="95" zoomScaleSheetLayoutView="98" workbookViewId="0">
      <selection activeCell="D37" sqref="D37"/>
    </sheetView>
  </sheetViews>
  <sheetFormatPr defaultColWidth="9.28515625" defaultRowHeight="14.25" x14ac:dyDescent="0.2"/>
  <cols>
    <col min="1" max="1" width="4.140625" style="13" customWidth="1"/>
    <col min="2" max="2" width="7" style="13" customWidth="1"/>
    <col min="3" max="3" width="40.7109375" style="13" customWidth="1"/>
    <col min="4" max="4" width="12.7109375" style="13" customWidth="1"/>
    <col min="5" max="5" width="13.28515625" style="13" customWidth="1"/>
    <col min="6" max="6" width="11.85546875" style="13" customWidth="1"/>
    <col min="7" max="7" width="9.28515625" style="13"/>
    <col min="8" max="8" width="16.28515625" style="13" bestFit="1" customWidth="1"/>
    <col min="9" max="16384" width="9.28515625" style="13"/>
  </cols>
  <sheetData>
    <row r="2" spans="2:8" ht="14.25" customHeight="1" x14ac:dyDescent="0.2">
      <c r="B2" s="279" t="s">
        <v>403</v>
      </c>
      <c r="C2" s="279"/>
      <c r="D2" s="279"/>
      <c r="E2" s="279"/>
      <c r="F2" s="279"/>
    </row>
    <row r="3" spans="2:8" ht="14.25" customHeight="1" x14ac:dyDescent="0.2">
      <c r="B3" s="279" t="str">
        <f>'F1'!$B$3</f>
        <v>BTPS</v>
      </c>
      <c r="C3" s="279"/>
      <c r="D3" s="279"/>
      <c r="E3" s="279"/>
      <c r="F3" s="279"/>
    </row>
    <row r="4" spans="2:8" s="4" customFormat="1" ht="14.25" customHeight="1" x14ac:dyDescent="0.2">
      <c r="B4" s="279" t="s">
        <v>268</v>
      </c>
      <c r="C4" s="279"/>
      <c r="D4" s="279"/>
      <c r="E4" s="279"/>
      <c r="F4" s="279"/>
    </row>
    <row r="5" spans="2:8" s="4" customFormat="1" ht="3" customHeight="1" x14ac:dyDescent="0.25">
      <c r="C5" s="41"/>
      <c r="D5" s="42"/>
      <c r="E5" s="42"/>
    </row>
    <row r="6" spans="2:8" ht="15" x14ac:dyDescent="0.2">
      <c r="F6" s="26" t="s">
        <v>4</v>
      </c>
    </row>
    <row r="7" spans="2:8" ht="12.75" customHeight="1" x14ac:dyDescent="0.2">
      <c r="B7" s="286" t="s">
        <v>2</v>
      </c>
      <c r="C7" s="286" t="s">
        <v>18</v>
      </c>
      <c r="D7" s="15" t="s">
        <v>404</v>
      </c>
      <c r="E7" s="15" t="s">
        <v>405</v>
      </c>
      <c r="F7" s="23" t="s">
        <v>467</v>
      </c>
    </row>
    <row r="8" spans="2:8" ht="15" x14ac:dyDescent="0.2">
      <c r="B8" s="286"/>
      <c r="C8" s="286"/>
      <c r="D8" s="15" t="s">
        <v>240</v>
      </c>
      <c r="E8" s="15" t="s">
        <v>239</v>
      </c>
      <c r="F8" s="15" t="s">
        <v>239</v>
      </c>
    </row>
    <row r="9" spans="2:8" ht="15" x14ac:dyDescent="0.2">
      <c r="B9" s="298"/>
      <c r="C9" s="286"/>
      <c r="D9" s="15" t="s">
        <v>12</v>
      </c>
      <c r="E9" s="15" t="s">
        <v>5</v>
      </c>
      <c r="F9" s="15" t="s">
        <v>8</v>
      </c>
    </row>
    <row r="10" spans="2:8" ht="18" customHeight="1" x14ac:dyDescent="0.2">
      <c r="B10" s="2">
        <v>1</v>
      </c>
      <c r="C10" s="43" t="s">
        <v>73</v>
      </c>
      <c r="D10" s="122">
        <v>178.01961471216572</v>
      </c>
      <c r="E10" s="122">
        <v>186.7746945478485</v>
      </c>
      <c r="F10" s="122">
        <v>194.24568232976245</v>
      </c>
      <c r="H10" s="148"/>
    </row>
    <row r="11" spans="2:8" ht="18" customHeight="1" x14ac:dyDescent="0.2">
      <c r="B11" s="2">
        <v>2</v>
      </c>
      <c r="C11" s="43" t="s">
        <v>74</v>
      </c>
      <c r="D11" s="122">
        <v>24.019595268233285</v>
      </c>
      <c r="E11" s="122">
        <v>25.225467244380859</v>
      </c>
      <c r="F11" s="122">
        <v>26.234485934156094</v>
      </c>
      <c r="H11" s="148"/>
    </row>
    <row r="12" spans="2:8" ht="18" customHeight="1" x14ac:dyDescent="0.2">
      <c r="B12" s="2">
        <v>3</v>
      </c>
      <c r="C12" s="3" t="s">
        <v>75</v>
      </c>
      <c r="D12" s="122">
        <v>16.117839661313745</v>
      </c>
      <c r="E12" s="122">
        <v>17.427525895706832</v>
      </c>
      <c r="F12" s="122">
        <v>18.124626931535108</v>
      </c>
      <c r="H12" s="148"/>
    </row>
    <row r="13" spans="2:8" ht="18" customHeight="1" x14ac:dyDescent="0.2">
      <c r="B13" s="2">
        <v>4</v>
      </c>
      <c r="C13" s="43" t="s">
        <v>76</v>
      </c>
      <c r="D13" s="122">
        <v>1.0223080900076671</v>
      </c>
      <c r="E13" s="122">
        <v>1.0610210462663681</v>
      </c>
      <c r="F13" s="122">
        <v>1.1034618881170228</v>
      </c>
      <c r="H13" s="148"/>
    </row>
    <row r="14" spans="2:8" ht="18" customHeight="1" x14ac:dyDescent="0.2">
      <c r="B14" s="2">
        <v>5</v>
      </c>
      <c r="C14" s="43" t="s">
        <v>77</v>
      </c>
      <c r="D14" s="122">
        <v>0</v>
      </c>
      <c r="E14" s="122">
        <v>0</v>
      </c>
      <c r="F14" s="122">
        <v>0</v>
      </c>
      <c r="H14" s="148"/>
    </row>
    <row r="15" spans="2:8" ht="18" customHeight="1" x14ac:dyDescent="0.2">
      <c r="B15" s="2">
        <v>6</v>
      </c>
      <c r="C15" s="3" t="s">
        <v>78</v>
      </c>
      <c r="D15" s="122">
        <v>8.0088196727699383</v>
      </c>
      <c r="E15" s="122">
        <v>7.4918824507935042</v>
      </c>
      <c r="F15" s="122">
        <v>7.7915577488252445</v>
      </c>
      <c r="H15" s="148"/>
    </row>
    <row r="16" spans="2:8" ht="18" customHeight="1" x14ac:dyDescent="0.2">
      <c r="B16" s="2">
        <v>7</v>
      </c>
      <c r="C16" s="43" t="s">
        <v>79</v>
      </c>
      <c r="D16" s="122">
        <v>31.68648693314362</v>
      </c>
      <c r="E16" s="122">
        <v>33.280532322154258</v>
      </c>
      <c r="F16" s="122">
        <v>34.611753615040428</v>
      </c>
      <c r="H16" s="148"/>
    </row>
    <row r="17" spans="2:8" ht="18" customHeight="1" x14ac:dyDescent="0.2">
      <c r="B17" s="2">
        <v>8</v>
      </c>
      <c r="C17" s="43" t="s">
        <v>80</v>
      </c>
      <c r="D17" s="122">
        <v>1.8802347747752621</v>
      </c>
      <c r="E17" s="122">
        <v>1.8459854121869332</v>
      </c>
      <c r="F17" s="122">
        <v>1.9198248286744106</v>
      </c>
      <c r="H17" s="148"/>
    </row>
    <row r="18" spans="2:8" ht="18" customHeight="1" x14ac:dyDescent="0.2">
      <c r="B18" s="2">
        <v>9</v>
      </c>
      <c r="C18" s="43" t="s">
        <v>81</v>
      </c>
      <c r="D18" s="122">
        <v>0</v>
      </c>
      <c r="E18" s="122">
        <v>0</v>
      </c>
      <c r="F18" s="122">
        <v>0</v>
      </c>
      <c r="H18" s="148"/>
    </row>
    <row r="19" spans="2:8" ht="18" customHeight="1" x14ac:dyDescent="0.2">
      <c r="B19" s="2">
        <v>10</v>
      </c>
      <c r="C19" s="43" t="s">
        <v>82</v>
      </c>
      <c r="D19" s="136">
        <v>0</v>
      </c>
      <c r="E19" s="122">
        <v>0</v>
      </c>
      <c r="F19" s="122">
        <v>0</v>
      </c>
      <c r="H19" s="148"/>
    </row>
    <row r="20" spans="2:8" ht="18" customHeight="1" x14ac:dyDescent="0.2">
      <c r="B20" s="2">
        <v>11</v>
      </c>
      <c r="C20" s="43" t="s">
        <v>83</v>
      </c>
      <c r="D20" s="136">
        <v>3.9249646644733916E-3</v>
      </c>
      <c r="E20" s="122">
        <v>4.2324705747950695E-3</v>
      </c>
      <c r="F20" s="122">
        <v>4.4017693977868727E-3</v>
      </c>
      <c r="H20" s="148"/>
    </row>
    <row r="21" spans="2:8" ht="18" customHeight="1" x14ac:dyDescent="0.2">
      <c r="B21" s="2">
        <v>12</v>
      </c>
      <c r="C21" s="43" t="s">
        <v>84</v>
      </c>
      <c r="D21" s="136">
        <v>3.1968454032625258</v>
      </c>
      <c r="E21" s="122">
        <v>3.3654170099751846</v>
      </c>
      <c r="F21" s="122">
        <v>3.5000336903741922</v>
      </c>
      <c r="H21" s="148"/>
    </row>
    <row r="22" spans="2:8" ht="18" customHeight="1" x14ac:dyDescent="0.2">
      <c r="B22" s="2">
        <v>13</v>
      </c>
      <c r="C22" s="43" t="s">
        <v>85</v>
      </c>
      <c r="D22" s="136">
        <v>0</v>
      </c>
      <c r="E22" s="122">
        <v>0</v>
      </c>
      <c r="F22" s="122">
        <v>0</v>
      </c>
      <c r="H22" s="148"/>
    </row>
    <row r="23" spans="2:8" ht="18" customHeight="1" x14ac:dyDescent="0.2">
      <c r="B23" s="2">
        <v>14</v>
      </c>
      <c r="C23" s="43" t="s">
        <v>86</v>
      </c>
      <c r="D23" s="136">
        <v>0</v>
      </c>
      <c r="E23" s="122">
        <v>0</v>
      </c>
      <c r="F23" s="122">
        <v>0</v>
      </c>
      <c r="H23" s="148"/>
    </row>
    <row r="24" spans="2:8" ht="18" customHeight="1" x14ac:dyDescent="0.2">
      <c r="B24" s="2">
        <v>15</v>
      </c>
      <c r="C24" s="43" t="s">
        <v>87</v>
      </c>
      <c r="D24" s="122">
        <v>0</v>
      </c>
      <c r="E24" s="122">
        <v>0</v>
      </c>
      <c r="F24" s="122">
        <v>0</v>
      </c>
      <c r="H24" s="148"/>
    </row>
    <row r="25" spans="2:8" ht="18" customHeight="1" x14ac:dyDescent="0.2">
      <c r="B25" s="2">
        <v>16</v>
      </c>
      <c r="C25" s="43" t="s">
        <v>88</v>
      </c>
      <c r="D25" s="137">
        <v>0</v>
      </c>
      <c r="E25" s="122">
        <v>0</v>
      </c>
      <c r="F25" s="122">
        <v>0</v>
      </c>
      <c r="H25" s="148"/>
    </row>
    <row r="26" spans="2:8" ht="18" customHeight="1" x14ac:dyDescent="0.2">
      <c r="B26" s="2">
        <v>17</v>
      </c>
      <c r="C26" s="43" t="s">
        <v>89</v>
      </c>
      <c r="D26" s="138">
        <f>SUM(D10:D25)</f>
        <v>263.95566948033621</v>
      </c>
      <c r="E26" s="139">
        <f>SUM(E10:E25)</f>
        <v>276.47675839988722</v>
      </c>
      <c r="F26" s="139">
        <f>SUM(F10:F25)</f>
        <v>287.53582873588272</v>
      </c>
      <c r="H26" s="149"/>
    </row>
    <row r="27" spans="2:8" ht="18" customHeight="1" x14ac:dyDescent="0.2">
      <c r="B27" s="2">
        <v>18</v>
      </c>
      <c r="C27" s="43" t="s">
        <v>90</v>
      </c>
      <c r="D27" s="137">
        <v>0</v>
      </c>
      <c r="E27" s="122">
        <v>0</v>
      </c>
      <c r="F27" s="122">
        <v>0</v>
      </c>
    </row>
    <row r="28" spans="2:8" ht="18" customHeight="1" x14ac:dyDescent="0.2">
      <c r="B28" s="2">
        <f>+B27+0.1</f>
        <v>18.100000000000001</v>
      </c>
      <c r="C28" s="43" t="s">
        <v>91</v>
      </c>
      <c r="D28" s="137">
        <v>0</v>
      </c>
      <c r="E28" s="122">
        <v>0</v>
      </c>
      <c r="F28" s="122">
        <v>0</v>
      </c>
    </row>
    <row r="29" spans="2:8" ht="18" customHeight="1" x14ac:dyDescent="0.2">
      <c r="B29" s="2">
        <f>+B28+0.1</f>
        <v>18.200000000000003</v>
      </c>
      <c r="C29" s="43" t="s">
        <v>92</v>
      </c>
      <c r="D29" s="137">
        <v>17.699842039393193</v>
      </c>
      <c r="E29" s="122">
        <v>18.686891376332419</v>
      </c>
      <c r="F29" s="122">
        <v>19.434367031385715</v>
      </c>
    </row>
    <row r="30" spans="2:8" ht="18" customHeight="1" x14ac:dyDescent="0.2">
      <c r="B30" s="2">
        <f>+B29+0.1</f>
        <v>18.300000000000004</v>
      </c>
      <c r="C30" s="43" t="s">
        <v>93</v>
      </c>
      <c r="D30" s="137">
        <v>0</v>
      </c>
      <c r="E30" s="122">
        <v>0</v>
      </c>
      <c r="F30" s="122">
        <v>0</v>
      </c>
    </row>
    <row r="31" spans="2:8" ht="18" customHeight="1" x14ac:dyDescent="0.2">
      <c r="B31" s="2">
        <f>+B30+0.1</f>
        <v>18.400000000000006</v>
      </c>
      <c r="C31" s="43" t="s">
        <v>94</v>
      </c>
      <c r="D31" s="122">
        <v>73.08587643746506</v>
      </c>
      <c r="E31" s="122">
        <v>77.73062394770767</v>
      </c>
      <c r="F31" s="122">
        <v>80.83984890561598</v>
      </c>
    </row>
    <row r="32" spans="2:8" ht="26.25" customHeight="1" x14ac:dyDescent="0.2">
      <c r="B32" s="2">
        <v>19</v>
      </c>
      <c r="C32" s="47" t="s">
        <v>393</v>
      </c>
      <c r="D32" s="122">
        <v>0</v>
      </c>
      <c r="E32" s="122">
        <v>0</v>
      </c>
      <c r="F32" s="122">
        <v>0</v>
      </c>
    </row>
    <row r="33" spans="2:6" ht="18" customHeight="1" x14ac:dyDescent="0.2">
      <c r="B33" s="2">
        <v>20</v>
      </c>
      <c r="C33" s="43" t="s">
        <v>95</v>
      </c>
      <c r="D33" s="122">
        <v>0</v>
      </c>
      <c r="E33" s="122">
        <v>0</v>
      </c>
      <c r="F33" s="122">
        <v>0</v>
      </c>
    </row>
    <row r="34" spans="2:6" ht="18" customHeight="1" x14ac:dyDescent="0.25">
      <c r="B34" s="14">
        <v>21</v>
      </c>
      <c r="C34" s="44" t="s">
        <v>96</v>
      </c>
      <c r="D34" s="124">
        <f>SUM(D26:D33)</f>
        <v>354.74138795719449</v>
      </c>
      <c r="E34" s="124">
        <f>SUM(E26:E33)</f>
        <v>372.89427372392731</v>
      </c>
      <c r="F34" s="124">
        <f>SUM(F26:F33)</f>
        <v>387.81004467288437</v>
      </c>
    </row>
    <row r="35" spans="2:6" ht="18" customHeight="1" x14ac:dyDescent="0.25">
      <c r="B35" s="2">
        <v>22</v>
      </c>
      <c r="C35" s="43" t="s">
        <v>17</v>
      </c>
      <c r="D35" s="233"/>
      <c r="E35" s="234"/>
      <c r="F35" s="234"/>
    </row>
    <row r="36" spans="2:6" ht="18" customHeight="1" x14ac:dyDescent="0.2">
      <c r="B36" s="14">
        <v>23</v>
      </c>
      <c r="C36" s="19" t="s">
        <v>97</v>
      </c>
      <c r="D36" s="180">
        <f>ROUND(D34-D35,2)</f>
        <v>354.74</v>
      </c>
      <c r="E36" s="180">
        <f t="shared" ref="E36:F36" si="0">ROUND(E34-E35,2)</f>
        <v>372.89</v>
      </c>
      <c r="F36" s="180">
        <f t="shared" si="0"/>
        <v>387.81</v>
      </c>
    </row>
    <row r="37" spans="2:6" ht="27.75" customHeight="1" x14ac:dyDescent="0.2">
      <c r="B37" s="45"/>
      <c r="D37" s="150"/>
    </row>
    <row r="38" spans="2:6" x14ac:dyDescent="0.2">
      <c r="B38" s="46"/>
    </row>
  </sheetData>
  <mergeCells count="5">
    <mergeCell ref="B7:B9"/>
    <mergeCell ref="C7:C9"/>
    <mergeCell ref="B2:F2"/>
    <mergeCell ref="B4:F4"/>
    <mergeCell ref="B3:F3"/>
  </mergeCells>
  <pageMargins left="1" right="0.25" top="0.25" bottom="0.25" header="0.5" footer="0.5"/>
  <pageSetup paperSize="9" scale="94" orientation="landscape" r:id="rId1"/>
  <headerFooter alignWithMargins="0"/>
  <rowBreaks count="1" manualBreakCount="1">
    <brk id="36"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view="pageBreakPreview" topLeftCell="A29" zoomScale="96" zoomScaleSheetLayoutView="96" workbookViewId="0">
      <selection activeCell="D38" sqref="D38:F38"/>
    </sheetView>
  </sheetViews>
  <sheetFormatPr defaultColWidth="9.28515625" defaultRowHeight="14.25" x14ac:dyDescent="0.2"/>
  <cols>
    <col min="1" max="1" width="2" style="13" customWidth="1"/>
    <col min="2" max="2" width="7" style="13" customWidth="1"/>
    <col min="3" max="3" width="42.28515625" style="13" customWidth="1"/>
    <col min="4" max="5" width="15.7109375" style="13" customWidth="1"/>
    <col min="6" max="6" width="16.140625" style="13" customWidth="1"/>
    <col min="7" max="16384" width="9.28515625" style="13"/>
  </cols>
  <sheetData>
    <row r="1" spans="2:6" ht="14.25" customHeight="1" x14ac:dyDescent="0.2">
      <c r="B1" s="279" t="s">
        <v>403</v>
      </c>
      <c r="C1" s="279"/>
      <c r="D1" s="279"/>
      <c r="E1" s="279"/>
      <c r="F1" s="279"/>
    </row>
    <row r="2" spans="2:6" ht="14.25" customHeight="1" x14ac:dyDescent="0.2">
      <c r="B2" s="279" t="str">
        <f>'F1'!$B$3</f>
        <v>BTPS</v>
      </c>
      <c r="C2" s="279"/>
      <c r="D2" s="279"/>
      <c r="E2" s="279"/>
      <c r="F2" s="279"/>
    </row>
    <row r="3" spans="2:6" s="4" customFormat="1" ht="15" x14ac:dyDescent="0.2">
      <c r="B3" s="279" t="s">
        <v>406</v>
      </c>
      <c r="C3" s="279"/>
      <c r="D3" s="279"/>
      <c r="E3" s="279"/>
      <c r="F3" s="279"/>
    </row>
    <row r="4" spans="2:6" ht="15" x14ac:dyDescent="0.2">
      <c r="F4" s="26" t="s">
        <v>4</v>
      </c>
    </row>
    <row r="5" spans="2:6" ht="12.75" customHeight="1" x14ac:dyDescent="0.2">
      <c r="B5" s="288" t="s">
        <v>193</v>
      </c>
      <c r="C5" s="286" t="s">
        <v>18</v>
      </c>
      <c r="D5" s="15" t="s">
        <v>404</v>
      </c>
      <c r="E5" s="15" t="s">
        <v>405</v>
      </c>
      <c r="F5" s="23" t="s">
        <v>467</v>
      </c>
    </row>
    <row r="6" spans="2:6" ht="15" x14ac:dyDescent="0.2">
      <c r="B6" s="288"/>
      <c r="C6" s="286"/>
      <c r="D6" s="15" t="s">
        <v>240</v>
      </c>
      <c r="E6" s="15" t="s">
        <v>239</v>
      </c>
      <c r="F6" s="15" t="s">
        <v>239</v>
      </c>
    </row>
    <row r="7" spans="2:6" ht="15" x14ac:dyDescent="0.2">
      <c r="B7" s="288"/>
      <c r="C7" s="286"/>
      <c r="D7" s="15" t="s">
        <v>12</v>
      </c>
      <c r="E7" s="15" t="s">
        <v>5</v>
      </c>
      <c r="F7" s="15" t="s">
        <v>8</v>
      </c>
    </row>
    <row r="8" spans="2:6" x14ac:dyDescent="0.2">
      <c r="B8" s="3">
        <v>1</v>
      </c>
      <c r="C8" s="53" t="s">
        <v>98</v>
      </c>
      <c r="D8" s="122">
        <v>6.6141617916005311</v>
      </c>
      <c r="E8" s="122">
        <v>7.1682091570459434</v>
      </c>
      <c r="F8" s="122">
        <v>7.5983017064687006</v>
      </c>
    </row>
    <row r="9" spans="2:6" x14ac:dyDescent="0.2">
      <c r="B9" s="3">
        <v>2</v>
      </c>
      <c r="C9" s="54" t="s">
        <v>99</v>
      </c>
      <c r="D9" s="122">
        <v>0</v>
      </c>
      <c r="E9" s="122">
        <v>0</v>
      </c>
      <c r="F9" s="122">
        <v>0</v>
      </c>
    </row>
    <row r="10" spans="2:6" x14ac:dyDescent="0.2">
      <c r="B10" s="3">
        <v>3</v>
      </c>
      <c r="C10" s="54" t="s">
        <v>100</v>
      </c>
      <c r="D10" s="122">
        <v>0.15802797087745971</v>
      </c>
      <c r="E10" s="122">
        <v>0.17033024314784234</v>
      </c>
      <c r="F10" s="122">
        <v>0.1805500577367129</v>
      </c>
    </row>
    <row r="11" spans="2:6" x14ac:dyDescent="0.2">
      <c r="B11" s="3">
        <v>4</v>
      </c>
      <c r="C11" s="54" t="s">
        <v>101</v>
      </c>
      <c r="D11" s="122">
        <v>0.42964396961847667</v>
      </c>
      <c r="E11" s="122">
        <v>0.46338249741318654</v>
      </c>
      <c r="F11" s="122">
        <v>0.49118544725797775</v>
      </c>
    </row>
    <row r="12" spans="2:6" x14ac:dyDescent="0.2">
      <c r="B12" s="3">
        <v>5</v>
      </c>
      <c r="C12" s="54" t="s">
        <v>102</v>
      </c>
      <c r="D12" s="122">
        <v>4.1687751298802797E-2</v>
      </c>
      <c r="E12" s="122">
        <v>4.5300407086575407E-2</v>
      </c>
      <c r="F12" s="122">
        <v>4.8018431511769932E-2</v>
      </c>
    </row>
    <row r="13" spans="2:6" x14ac:dyDescent="0.2">
      <c r="B13" s="3">
        <v>6</v>
      </c>
      <c r="C13" s="54" t="s">
        <v>103</v>
      </c>
      <c r="D13" s="122">
        <v>9.6282349026527117E-2</v>
      </c>
      <c r="E13" s="122">
        <v>0.10398025917461189</v>
      </c>
      <c r="F13" s="122">
        <v>0.1102190747250886</v>
      </c>
    </row>
    <row r="14" spans="2:6" x14ac:dyDescent="0.2">
      <c r="B14" s="3">
        <v>7</v>
      </c>
      <c r="C14" s="54" t="s">
        <v>104</v>
      </c>
      <c r="D14" s="122">
        <v>0.47529122559096093</v>
      </c>
      <c r="E14" s="122">
        <v>0.27545094193443131</v>
      </c>
      <c r="F14" s="122">
        <v>0.29197799845049721</v>
      </c>
    </row>
    <row r="15" spans="2:6" x14ac:dyDescent="0.2">
      <c r="B15" s="3">
        <v>8</v>
      </c>
      <c r="C15" s="54" t="s">
        <v>105</v>
      </c>
      <c r="D15" s="122">
        <v>3.6908296554488945E-3</v>
      </c>
      <c r="E15" s="122">
        <v>4.0045816706956033E-3</v>
      </c>
      <c r="F15" s="122">
        <v>4.2448565709373399E-3</v>
      </c>
    </row>
    <row r="16" spans="2:6" x14ac:dyDescent="0.2">
      <c r="B16" s="3">
        <v>9</v>
      </c>
      <c r="C16" s="54" t="s">
        <v>106</v>
      </c>
      <c r="D16" s="122">
        <v>8.1045095189351883</v>
      </c>
      <c r="E16" s="122">
        <v>8.7593365090766895</v>
      </c>
      <c r="F16" s="122">
        <v>9.2848966996212905</v>
      </c>
    </row>
    <row r="17" spans="2:6" x14ac:dyDescent="0.2">
      <c r="B17" s="3">
        <v>10</v>
      </c>
      <c r="C17" s="54" t="s">
        <v>107</v>
      </c>
      <c r="D17" s="122">
        <v>0.6118437160469975</v>
      </c>
      <c r="E17" s="122">
        <v>0.66385565288682769</v>
      </c>
      <c r="F17" s="122">
        <v>0.70368699206003738</v>
      </c>
    </row>
    <row r="18" spans="2:6" x14ac:dyDescent="0.2">
      <c r="B18" s="3">
        <v>11</v>
      </c>
      <c r="C18" s="54" t="s">
        <v>108</v>
      </c>
      <c r="D18" s="122">
        <v>9.9796013481121058E-4</v>
      </c>
      <c r="E18" s="122">
        <v>1.051343567349881E-3</v>
      </c>
      <c r="F18" s="122">
        <v>1.1144241813908738E-3</v>
      </c>
    </row>
    <row r="19" spans="2:6" x14ac:dyDescent="0.2">
      <c r="B19" s="3">
        <v>12</v>
      </c>
      <c r="C19" s="54" t="s">
        <v>109</v>
      </c>
      <c r="D19" s="122">
        <v>0</v>
      </c>
      <c r="E19" s="122">
        <v>0</v>
      </c>
      <c r="F19" s="122">
        <v>0</v>
      </c>
    </row>
    <row r="20" spans="2:6" x14ac:dyDescent="0.2">
      <c r="B20" s="3">
        <v>13</v>
      </c>
      <c r="C20" s="54" t="s">
        <v>110</v>
      </c>
      <c r="D20" s="122">
        <v>3.8392249466445316E-2</v>
      </c>
      <c r="E20" s="122">
        <v>4.1595336104283925E-2</v>
      </c>
      <c r="F20" s="122">
        <v>4.4091056270540961E-2</v>
      </c>
    </row>
    <row r="21" spans="2:6" x14ac:dyDescent="0.2">
      <c r="B21" s="3">
        <v>14</v>
      </c>
      <c r="C21" s="54" t="s">
        <v>111</v>
      </c>
      <c r="D21" s="122">
        <v>9.3593570359301284E-2</v>
      </c>
      <c r="E21" s="122">
        <v>0.19503509408374031</v>
      </c>
      <c r="F21" s="122">
        <v>0.20673719972876475</v>
      </c>
    </row>
    <row r="22" spans="2:6" x14ac:dyDescent="0.2">
      <c r="B22" s="3">
        <v>15</v>
      </c>
      <c r="C22" s="54" t="s">
        <v>112</v>
      </c>
      <c r="D22" s="122">
        <v>0</v>
      </c>
      <c r="E22" s="122">
        <v>0</v>
      </c>
      <c r="F22" s="122">
        <v>0</v>
      </c>
    </row>
    <row r="23" spans="2:6" x14ac:dyDescent="0.2">
      <c r="B23" s="3">
        <v>16</v>
      </c>
      <c r="C23" s="53" t="s">
        <v>113</v>
      </c>
      <c r="D23" s="122">
        <v>0</v>
      </c>
      <c r="E23" s="122">
        <v>0</v>
      </c>
      <c r="F23" s="122">
        <v>0</v>
      </c>
    </row>
    <row r="24" spans="2:6" x14ac:dyDescent="0.2">
      <c r="B24" s="3">
        <v>17</v>
      </c>
      <c r="C24" s="53" t="s">
        <v>114</v>
      </c>
      <c r="D24" s="122">
        <v>0</v>
      </c>
      <c r="E24" s="122">
        <v>0</v>
      </c>
      <c r="F24" s="122">
        <v>0</v>
      </c>
    </row>
    <row r="25" spans="2:6" x14ac:dyDescent="0.2">
      <c r="B25" s="3">
        <v>18</v>
      </c>
      <c r="C25" s="54" t="s">
        <v>115</v>
      </c>
      <c r="D25" s="122">
        <v>7.2330871548864098E-2</v>
      </c>
      <c r="E25" s="122">
        <v>7.865376052974532E-2</v>
      </c>
      <c r="F25" s="122">
        <v>8.3372986161530049E-2</v>
      </c>
    </row>
    <row r="26" spans="2:6" x14ac:dyDescent="0.2">
      <c r="B26" s="3">
        <v>19</v>
      </c>
      <c r="C26" s="54" t="s">
        <v>116</v>
      </c>
      <c r="D26" s="122">
        <v>2.5698989693303389</v>
      </c>
      <c r="E26" s="122">
        <v>2.7360729324727342</v>
      </c>
      <c r="F26" s="122">
        <v>2.9002373084210986</v>
      </c>
    </row>
    <row r="27" spans="2:6" x14ac:dyDescent="0.2">
      <c r="B27" s="3">
        <v>20</v>
      </c>
      <c r="C27" s="54" t="s">
        <v>117</v>
      </c>
      <c r="D27" s="122">
        <v>0</v>
      </c>
      <c r="E27" s="122">
        <v>0</v>
      </c>
      <c r="F27" s="122">
        <v>0</v>
      </c>
    </row>
    <row r="28" spans="2:6" x14ac:dyDescent="0.2">
      <c r="B28" s="3">
        <v>21</v>
      </c>
      <c r="C28" s="54" t="s">
        <v>118</v>
      </c>
      <c r="D28" s="122">
        <v>0</v>
      </c>
      <c r="E28" s="122">
        <v>0</v>
      </c>
      <c r="F28" s="122">
        <v>0</v>
      </c>
    </row>
    <row r="29" spans="2:6" x14ac:dyDescent="0.2">
      <c r="B29" s="3">
        <v>22</v>
      </c>
      <c r="C29" s="54" t="s">
        <v>119</v>
      </c>
      <c r="D29" s="122">
        <v>1.2666018976439906E-2</v>
      </c>
      <c r="E29" s="122">
        <v>1.3840886180926224E-2</v>
      </c>
      <c r="F29" s="122">
        <v>1.4671339351781798E-2</v>
      </c>
    </row>
    <row r="30" spans="2:6" x14ac:dyDescent="0.2">
      <c r="B30" s="3">
        <v>23</v>
      </c>
      <c r="C30" s="54" t="s">
        <v>120</v>
      </c>
      <c r="D30" s="122">
        <v>0</v>
      </c>
      <c r="E30" s="122">
        <v>0</v>
      </c>
      <c r="F30" s="122">
        <v>0</v>
      </c>
    </row>
    <row r="31" spans="2:6" x14ac:dyDescent="0.2">
      <c r="B31" s="3">
        <v>24</v>
      </c>
      <c r="C31" s="54" t="s">
        <v>121</v>
      </c>
      <c r="D31" s="122">
        <v>8.4640791731315543E-2</v>
      </c>
      <c r="E31" s="122">
        <v>9.1875537570808866E-2</v>
      </c>
      <c r="F31" s="122">
        <v>9.7388069825057405E-2</v>
      </c>
    </row>
    <row r="32" spans="2:6" x14ac:dyDescent="0.2">
      <c r="B32" s="3">
        <v>25</v>
      </c>
      <c r="C32" s="54" t="s">
        <v>122</v>
      </c>
      <c r="D32" s="122">
        <v>0</v>
      </c>
      <c r="E32" s="122">
        <v>0</v>
      </c>
      <c r="F32" s="122">
        <v>0</v>
      </c>
    </row>
    <row r="33" spans="2:6" x14ac:dyDescent="0.2">
      <c r="B33" s="3">
        <v>26</v>
      </c>
      <c r="C33" s="54" t="s">
        <v>123</v>
      </c>
      <c r="D33" s="122">
        <v>0</v>
      </c>
      <c r="E33" s="122">
        <v>0</v>
      </c>
      <c r="F33" s="122">
        <v>0</v>
      </c>
    </row>
    <row r="34" spans="2:6" x14ac:dyDescent="0.2">
      <c r="B34" s="3">
        <v>27</v>
      </c>
      <c r="C34" s="54" t="s">
        <v>124</v>
      </c>
      <c r="D34" s="122">
        <v>2.9620550305797255E-2</v>
      </c>
      <c r="E34" s="122">
        <v>3.1630184593826133E-2</v>
      </c>
      <c r="F34" s="122">
        <v>3.3527995669455704E-2</v>
      </c>
    </row>
    <row r="35" spans="2:6" x14ac:dyDescent="0.2">
      <c r="B35" s="3">
        <v>28</v>
      </c>
      <c r="C35" s="54" t="s">
        <v>95</v>
      </c>
      <c r="D35" s="122">
        <v>0.26520706529724891</v>
      </c>
      <c r="E35" s="122">
        <v>0.36499999999999999</v>
      </c>
      <c r="F35" s="122">
        <v>0.38</v>
      </c>
    </row>
    <row r="36" spans="2:6" ht="15" x14ac:dyDescent="0.25">
      <c r="B36" s="3">
        <v>29</v>
      </c>
      <c r="C36" s="55" t="s">
        <v>125</v>
      </c>
      <c r="D36" s="113">
        <f>SUM(D8:D35)</f>
        <v>19.702487169800953</v>
      </c>
      <c r="E36" s="113">
        <f>SUM(E8:E35)</f>
        <v>21.208605324540216</v>
      </c>
      <c r="F36" s="113">
        <f>SUM(F8:F35)</f>
        <v>22.474221644012633</v>
      </c>
    </row>
    <row r="37" spans="2:6" ht="15" x14ac:dyDescent="0.25">
      <c r="B37" s="3">
        <v>30</v>
      </c>
      <c r="C37" s="43" t="s">
        <v>17</v>
      </c>
      <c r="D37" s="233"/>
      <c r="E37" s="235"/>
      <c r="F37" s="235"/>
    </row>
    <row r="38" spans="2:6" ht="15" x14ac:dyDescent="0.2">
      <c r="B38" s="3">
        <v>31</v>
      </c>
      <c r="C38" s="19" t="s">
        <v>126</v>
      </c>
      <c r="D38" s="113">
        <f>ROUND(D36-D37,2)</f>
        <v>19.7</v>
      </c>
      <c r="E38" s="113">
        <f t="shared" ref="E38:F38" si="0">ROUND(E36-E37,2)</f>
        <v>21.21</v>
      </c>
      <c r="F38" s="113">
        <f t="shared" si="0"/>
        <v>22.47</v>
      </c>
    </row>
  </sheetData>
  <mergeCells count="5">
    <mergeCell ref="B5:B7"/>
    <mergeCell ref="C5:C7"/>
    <mergeCell ref="B3:F3"/>
    <mergeCell ref="B1:F1"/>
    <mergeCell ref="B2:F2"/>
  </mergeCells>
  <pageMargins left="0.7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2"/>
  <sheetViews>
    <sheetView showGridLines="0" view="pageBreakPreview" topLeftCell="C1" zoomScale="90" zoomScaleNormal="98" zoomScaleSheetLayoutView="90" workbookViewId="0">
      <selection activeCell="D21" sqref="D21:F21"/>
    </sheetView>
  </sheetViews>
  <sheetFormatPr defaultColWidth="9.28515625" defaultRowHeight="14.25" x14ac:dyDescent="0.2"/>
  <cols>
    <col min="1" max="1" width="4.5703125" style="13" customWidth="1"/>
    <col min="2" max="2" width="8.7109375" style="56" customWidth="1"/>
    <col min="3" max="3" width="45.7109375" style="13" customWidth="1"/>
    <col min="4" max="5" width="15.7109375" style="13" customWidth="1"/>
    <col min="6" max="6" width="12.28515625" style="13" customWidth="1"/>
    <col min="7" max="16384" width="9.28515625" style="13"/>
  </cols>
  <sheetData>
    <row r="2" spans="2:6" ht="14.25" customHeight="1" x14ac:dyDescent="0.2">
      <c r="B2" s="279" t="s">
        <v>403</v>
      </c>
      <c r="C2" s="279"/>
      <c r="D2" s="279"/>
      <c r="E2" s="279"/>
      <c r="F2" s="279"/>
    </row>
    <row r="3" spans="2:6" ht="14.25" customHeight="1" x14ac:dyDescent="0.2">
      <c r="B3" s="279" t="str">
        <f>'F1'!$B$3</f>
        <v>BTPS</v>
      </c>
      <c r="C3" s="279"/>
      <c r="D3" s="279"/>
      <c r="E3" s="279"/>
      <c r="F3" s="279"/>
    </row>
    <row r="4" spans="2:6" s="4" customFormat="1" ht="14.25" customHeight="1" x14ac:dyDescent="0.2">
      <c r="B4" s="279" t="s">
        <v>269</v>
      </c>
      <c r="C4" s="279"/>
      <c r="D4" s="279"/>
      <c r="E4" s="279"/>
      <c r="F4" s="279"/>
    </row>
    <row r="6" spans="2:6" ht="15" x14ac:dyDescent="0.2">
      <c r="F6" s="26" t="s">
        <v>4</v>
      </c>
    </row>
    <row r="7" spans="2:6" ht="12.75" customHeight="1" x14ac:dyDescent="0.2">
      <c r="B7" s="288" t="s">
        <v>193</v>
      </c>
      <c r="C7" s="286" t="s">
        <v>18</v>
      </c>
      <c r="D7" s="15" t="s">
        <v>404</v>
      </c>
      <c r="E7" s="15" t="s">
        <v>405</v>
      </c>
      <c r="F7" s="23" t="s">
        <v>467</v>
      </c>
    </row>
    <row r="8" spans="2:6" ht="15" x14ac:dyDescent="0.2">
      <c r="B8" s="288"/>
      <c r="C8" s="286"/>
      <c r="D8" s="15" t="s">
        <v>240</v>
      </c>
      <c r="E8" s="15" t="s">
        <v>239</v>
      </c>
      <c r="F8" s="15" t="s">
        <v>239</v>
      </c>
    </row>
    <row r="9" spans="2:6" ht="15" x14ac:dyDescent="0.2">
      <c r="B9" s="288"/>
      <c r="C9" s="286"/>
      <c r="D9" s="15" t="s">
        <v>12</v>
      </c>
      <c r="E9" s="15" t="s">
        <v>5</v>
      </c>
      <c r="F9" s="15" t="s">
        <v>8</v>
      </c>
    </row>
    <row r="10" spans="2:6" x14ac:dyDescent="0.2">
      <c r="B10" s="2">
        <v>1</v>
      </c>
      <c r="C10" s="54" t="s">
        <v>127</v>
      </c>
      <c r="D10" s="122">
        <v>62.976794672557403</v>
      </c>
      <c r="E10" s="253">
        <v>66.842237561682197</v>
      </c>
      <c r="F10" s="253">
        <v>70.852771815383136</v>
      </c>
    </row>
    <row r="11" spans="2:6" x14ac:dyDescent="0.2">
      <c r="B11" s="2">
        <v>2</v>
      </c>
      <c r="C11" s="54" t="s">
        <v>128</v>
      </c>
      <c r="D11" s="122">
        <v>11.200509755289138</v>
      </c>
      <c r="E11" s="253">
        <v>11.87338889778915</v>
      </c>
      <c r="F11" s="253">
        <v>12.5857922316565</v>
      </c>
    </row>
    <row r="12" spans="2:6" x14ac:dyDescent="0.2">
      <c r="B12" s="2">
        <v>3</v>
      </c>
      <c r="C12" s="54" t="s">
        <v>129</v>
      </c>
      <c r="D12" s="122">
        <v>0</v>
      </c>
      <c r="E12" s="253">
        <v>0</v>
      </c>
      <c r="F12" s="253">
        <v>0</v>
      </c>
    </row>
    <row r="13" spans="2:6" x14ac:dyDescent="0.2">
      <c r="B13" s="2">
        <v>4</v>
      </c>
      <c r="C13" s="54" t="s">
        <v>130</v>
      </c>
      <c r="D13" s="122">
        <v>0</v>
      </c>
      <c r="E13" s="253">
        <v>0</v>
      </c>
      <c r="F13" s="253">
        <v>0</v>
      </c>
    </row>
    <row r="14" spans="2:6" x14ac:dyDescent="0.2">
      <c r="B14" s="2">
        <v>5</v>
      </c>
      <c r="C14" s="54" t="s">
        <v>131</v>
      </c>
      <c r="D14" s="122">
        <v>2.1610976348592956</v>
      </c>
      <c r="E14" s="253">
        <v>2.2829565832895762</v>
      </c>
      <c r="F14" s="253">
        <v>2.4199339782869509</v>
      </c>
    </row>
    <row r="15" spans="2:6" x14ac:dyDescent="0.2">
      <c r="B15" s="2">
        <v>6</v>
      </c>
      <c r="C15" s="54" t="s">
        <v>132</v>
      </c>
      <c r="D15" s="122">
        <v>6.9831100070600824E-2</v>
      </c>
      <c r="E15" s="253">
        <v>7.421169909587666E-2</v>
      </c>
      <c r="F15" s="253">
        <v>7.8664401041629264E-2</v>
      </c>
    </row>
    <row r="16" spans="2:6" x14ac:dyDescent="0.2">
      <c r="B16" s="2">
        <v>7</v>
      </c>
      <c r="C16" s="54" t="s">
        <v>133</v>
      </c>
      <c r="D16" s="122">
        <v>0</v>
      </c>
      <c r="E16" s="253">
        <v>0</v>
      </c>
      <c r="F16" s="253">
        <v>0</v>
      </c>
    </row>
    <row r="17" spans="2:6" x14ac:dyDescent="0.2">
      <c r="B17" s="2">
        <v>8</v>
      </c>
      <c r="C17" s="54" t="s">
        <v>134</v>
      </c>
      <c r="D17" s="122">
        <v>0.52864972447119407</v>
      </c>
      <c r="E17" s="253">
        <v>0.55534325483266489</v>
      </c>
      <c r="F17" s="253">
        <v>0.58499999999999996</v>
      </c>
    </row>
    <row r="18" spans="2:6" ht="15" x14ac:dyDescent="0.25">
      <c r="B18" s="2">
        <v>9</v>
      </c>
      <c r="C18" s="55" t="s">
        <v>135</v>
      </c>
      <c r="D18" s="113">
        <f>ROUND(SUM(D10:D17),2)</f>
        <v>76.94</v>
      </c>
      <c r="E18" s="113">
        <f t="shared" ref="E18:F18" si="0">ROUND(SUM(E10:E17),2)</f>
        <v>81.63</v>
      </c>
      <c r="F18" s="113">
        <f t="shared" si="0"/>
        <v>86.52</v>
      </c>
    </row>
    <row r="19" spans="2:6" ht="15" x14ac:dyDescent="0.25">
      <c r="B19" s="2"/>
      <c r="C19" s="53"/>
      <c r="D19" s="233"/>
      <c r="E19" s="236"/>
      <c r="F19" s="237"/>
    </row>
    <row r="20" spans="2:6" ht="15" x14ac:dyDescent="0.2">
      <c r="B20" s="2">
        <v>10</v>
      </c>
      <c r="C20" s="57" t="s">
        <v>136</v>
      </c>
      <c r="D20" s="113">
        <f>'F4'!F21</f>
        <v>7445.28</v>
      </c>
      <c r="E20" s="113">
        <f>'F4'!F37</f>
        <v>7540.34</v>
      </c>
      <c r="F20" s="113">
        <f>'F4'!F53</f>
        <v>7579.56</v>
      </c>
    </row>
    <row r="21" spans="2:6" ht="28.5" x14ac:dyDescent="0.2">
      <c r="B21" s="2">
        <v>11</v>
      </c>
      <c r="C21" s="57" t="s">
        <v>137</v>
      </c>
      <c r="D21" s="123">
        <f>IFERROR(D18/D20,0)</f>
        <v>1.0334063997593106E-2</v>
      </c>
      <c r="E21" s="123">
        <f t="shared" ref="E21:F21" si="1">IFERROR(E18/E20,0)</f>
        <v>1.0825771782174278E-2</v>
      </c>
      <c r="F21" s="123">
        <f t="shared" si="1"/>
        <v>1.1414910628057565E-2</v>
      </c>
    </row>
    <row r="22" spans="2:6" x14ac:dyDescent="0.2">
      <c r="B22" s="2"/>
      <c r="C22" s="53"/>
      <c r="D22" s="122"/>
      <c r="E22" s="122"/>
      <c r="F22" s="122"/>
    </row>
  </sheetData>
  <mergeCells count="5">
    <mergeCell ref="B7:B9"/>
    <mergeCell ref="C7:C9"/>
    <mergeCell ref="B4:F4"/>
    <mergeCell ref="B2:F2"/>
    <mergeCell ref="B3:F3"/>
  </mergeCells>
  <pageMargins left="1.25" right="0.75" top="1" bottom="1" header="0.5" footer="0.5"/>
  <pageSetup paperSize="9" scale="11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view="pageBreakPreview" zoomScale="90" zoomScaleNormal="118" zoomScaleSheetLayoutView="90" workbookViewId="0">
      <selection activeCell="I20" sqref="I20"/>
    </sheetView>
  </sheetViews>
  <sheetFormatPr defaultColWidth="9.28515625" defaultRowHeight="14.25" x14ac:dyDescent="0.2"/>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5.140625" style="4" customWidth="1"/>
    <col min="9" max="9" width="11.7109375" style="4" bestFit="1" customWidth="1"/>
    <col min="10" max="10" width="13.5703125" style="4" customWidth="1"/>
    <col min="11" max="16384" width="9.28515625" style="4"/>
  </cols>
  <sheetData>
    <row r="1" spans="2:10" ht="15" x14ac:dyDescent="0.25">
      <c r="B1" s="58"/>
    </row>
    <row r="2" spans="2:10" ht="14.25" customHeight="1" x14ac:dyDescent="0.2">
      <c r="B2" s="279" t="s">
        <v>403</v>
      </c>
      <c r="C2" s="279"/>
      <c r="D2" s="279"/>
      <c r="E2" s="279"/>
      <c r="F2" s="279"/>
      <c r="G2" s="279"/>
      <c r="H2" s="279"/>
      <c r="I2" s="279"/>
      <c r="J2" s="279"/>
    </row>
    <row r="3" spans="2:10" ht="14.25" customHeight="1" x14ac:dyDescent="0.2">
      <c r="B3" s="279" t="str">
        <f>'F1'!$B$3</f>
        <v>BTPS</v>
      </c>
      <c r="C3" s="279"/>
      <c r="D3" s="279"/>
      <c r="E3" s="279"/>
      <c r="F3" s="279"/>
      <c r="G3" s="279"/>
      <c r="H3" s="279"/>
      <c r="I3" s="279"/>
      <c r="J3" s="279"/>
    </row>
    <row r="4" spans="2:10" ht="14.25" customHeight="1" x14ac:dyDescent="0.2">
      <c r="B4" s="279" t="s">
        <v>270</v>
      </c>
      <c r="C4" s="279"/>
      <c r="D4" s="279"/>
      <c r="E4" s="279"/>
      <c r="F4" s="279"/>
      <c r="G4" s="279"/>
      <c r="H4" s="279"/>
      <c r="I4" s="279"/>
      <c r="J4" s="279"/>
    </row>
    <row r="5" spans="2:10" ht="15" x14ac:dyDescent="0.25">
      <c r="B5" s="36"/>
      <c r="C5" s="59"/>
      <c r="D5" s="59"/>
      <c r="E5" s="59"/>
      <c r="F5" s="59"/>
      <c r="G5" s="59"/>
      <c r="H5" s="59"/>
    </row>
    <row r="6" spans="2:10" ht="15" x14ac:dyDescent="0.2">
      <c r="H6" s="26" t="s">
        <v>4</v>
      </c>
    </row>
    <row r="7" spans="2:10" s="13" customFormat="1" ht="15" customHeight="1" x14ac:dyDescent="0.2">
      <c r="B7" s="283" t="s">
        <v>193</v>
      </c>
      <c r="C7" s="286" t="s">
        <v>18</v>
      </c>
      <c r="D7" s="290" t="s">
        <v>404</v>
      </c>
      <c r="E7" s="291"/>
      <c r="F7" s="292"/>
      <c r="G7" s="290" t="s">
        <v>405</v>
      </c>
      <c r="H7" s="292"/>
      <c r="I7" s="290" t="s">
        <v>467</v>
      </c>
      <c r="J7" s="292"/>
    </row>
    <row r="8" spans="2:10" s="13" customFormat="1" ht="45" x14ac:dyDescent="0.2">
      <c r="B8" s="284"/>
      <c r="C8" s="286"/>
      <c r="D8" s="15" t="s">
        <v>370</v>
      </c>
      <c r="E8" s="15" t="s">
        <v>240</v>
      </c>
      <c r="F8" s="15" t="s">
        <v>208</v>
      </c>
      <c r="G8" s="15" t="s">
        <v>370</v>
      </c>
      <c r="H8" s="15" t="s">
        <v>239</v>
      </c>
      <c r="I8" s="15" t="s">
        <v>370</v>
      </c>
      <c r="J8" s="15" t="s">
        <v>239</v>
      </c>
    </row>
    <row r="9" spans="2:10" s="13" customFormat="1" ht="15" x14ac:dyDescent="0.2">
      <c r="B9" s="285"/>
      <c r="C9" s="287"/>
      <c r="D9" s="15" t="s">
        <v>10</v>
      </c>
      <c r="E9" s="15" t="s">
        <v>12</v>
      </c>
      <c r="F9" s="15" t="s">
        <v>231</v>
      </c>
      <c r="G9" s="15" t="s">
        <v>10</v>
      </c>
      <c r="H9" s="15" t="s">
        <v>5</v>
      </c>
      <c r="I9" s="15" t="s">
        <v>10</v>
      </c>
      <c r="J9" s="15" t="s">
        <v>8</v>
      </c>
    </row>
    <row r="10" spans="2:10" s="5" customFormat="1" x14ac:dyDescent="0.2">
      <c r="B10" s="62">
        <v>1</v>
      </c>
      <c r="C10" s="27" t="s">
        <v>244</v>
      </c>
      <c r="D10" s="2"/>
      <c r="E10" s="27"/>
      <c r="F10" s="27"/>
      <c r="G10" s="112"/>
      <c r="H10" s="112">
        <f>E13</f>
        <v>0</v>
      </c>
      <c r="I10" s="112"/>
      <c r="J10" s="112">
        <f>H13</f>
        <v>0</v>
      </c>
    </row>
    <row r="11" spans="2:10" s="5" customFormat="1" x14ac:dyDescent="0.2">
      <c r="B11" s="20">
        <v>2</v>
      </c>
      <c r="C11" s="27" t="s">
        <v>273</v>
      </c>
      <c r="D11" s="2"/>
      <c r="E11" s="109">
        <v>95.06</v>
      </c>
      <c r="F11" s="109">
        <f>E11</f>
        <v>95.06</v>
      </c>
      <c r="G11" s="21"/>
      <c r="H11" s="112">
        <v>39.22</v>
      </c>
      <c r="I11" s="112"/>
      <c r="J11" s="112">
        <v>889.13</v>
      </c>
    </row>
    <row r="12" spans="2:10" s="5" customFormat="1" ht="15" x14ac:dyDescent="0.2">
      <c r="B12" s="20">
        <v>3</v>
      </c>
      <c r="C12" s="29" t="s">
        <v>225</v>
      </c>
      <c r="D12" s="120"/>
      <c r="E12" s="126">
        <v>95.06</v>
      </c>
      <c r="F12" s="126">
        <f>E12</f>
        <v>95.06</v>
      </c>
      <c r="G12" s="120"/>
      <c r="H12" s="111">
        <v>39.22</v>
      </c>
      <c r="I12" s="111"/>
      <c r="J12" s="111">
        <v>889.13</v>
      </c>
    </row>
    <row r="13" spans="2:10" s="5" customFormat="1" ht="15" x14ac:dyDescent="0.2">
      <c r="B13" s="20">
        <v>4</v>
      </c>
      <c r="C13" s="27" t="s">
        <v>245</v>
      </c>
      <c r="D13" s="121">
        <f>D10+D11-D12</f>
        <v>0</v>
      </c>
      <c r="E13" s="121">
        <f t="shared" ref="E13:J13" si="0">E10+E11-E12</f>
        <v>0</v>
      </c>
      <c r="F13" s="121">
        <f t="shared" si="0"/>
        <v>0</v>
      </c>
      <c r="G13" s="121">
        <f t="shared" si="0"/>
        <v>0</v>
      </c>
      <c r="H13" s="121">
        <f>H10+H11-H12</f>
        <v>0</v>
      </c>
      <c r="I13" s="121">
        <f>I10+I11-I12</f>
        <v>0</v>
      </c>
      <c r="J13" s="121">
        <f t="shared" si="0"/>
        <v>0</v>
      </c>
    </row>
    <row r="14" spans="2:10" s="32" customFormat="1" ht="15" x14ac:dyDescent="0.2">
      <c r="B14" s="63"/>
      <c r="C14" s="50"/>
      <c r="D14" s="60"/>
      <c r="E14" s="60"/>
      <c r="F14" s="60"/>
      <c r="G14" s="61"/>
      <c r="H14" s="24"/>
    </row>
    <row r="16" spans="2:10" x14ac:dyDescent="0.2">
      <c r="B16" s="64"/>
    </row>
  </sheetData>
  <mergeCells count="8">
    <mergeCell ref="B2:J2"/>
    <mergeCell ref="B3:J3"/>
    <mergeCell ref="B4:J4"/>
    <mergeCell ref="I7:J7"/>
    <mergeCell ref="B7:B9"/>
    <mergeCell ref="C7:C9"/>
    <mergeCell ref="D7:F7"/>
    <mergeCell ref="G7:H7"/>
  </mergeCells>
  <pageMargins left="0.27"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3"/>
  <sheetViews>
    <sheetView showGridLines="0" view="pageBreakPreview" topLeftCell="K25" zoomScale="90" zoomScaleNormal="106" zoomScaleSheetLayoutView="90" workbookViewId="0">
      <selection sqref="A1:XFD1048576"/>
    </sheetView>
  </sheetViews>
  <sheetFormatPr defaultRowHeight="14.25" x14ac:dyDescent="0.2"/>
  <cols>
    <col min="1" max="1" width="4.140625" style="5" customWidth="1"/>
    <col min="2" max="2" width="6.28515625" style="5" customWidth="1"/>
    <col min="3" max="3" width="18.140625" style="5" customWidth="1"/>
    <col min="4" max="4" width="28.85546875" style="5" customWidth="1"/>
    <col min="5" max="5" width="45" style="5" customWidth="1"/>
    <col min="6" max="6" width="22" style="5" customWidth="1"/>
    <col min="7" max="7" width="23.5703125" style="5" customWidth="1"/>
    <col min="8" max="8" width="21.7109375" style="5" customWidth="1"/>
    <col min="9" max="9" width="33.5703125" style="5" customWidth="1"/>
    <col min="10" max="10" width="68" style="5" customWidth="1"/>
    <col min="11" max="11" width="39" style="5" customWidth="1"/>
    <col min="12" max="12" width="119.285156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7" ht="15" x14ac:dyDescent="0.2">
      <c r="B1" s="272"/>
    </row>
    <row r="2" spans="2:17" ht="15" x14ac:dyDescent="0.2">
      <c r="B2" s="319" t="s">
        <v>403</v>
      </c>
      <c r="C2" s="319"/>
      <c r="D2" s="319"/>
      <c r="E2" s="319"/>
      <c r="F2" s="319"/>
      <c r="G2" s="319"/>
      <c r="H2" s="319"/>
      <c r="I2" s="319"/>
      <c r="J2" s="319"/>
      <c r="K2" s="319"/>
      <c r="L2" s="319"/>
    </row>
    <row r="3" spans="2:17" ht="15" x14ac:dyDescent="0.2">
      <c r="B3" s="319" t="s">
        <v>468</v>
      </c>
      <c r="C3" s="319"/>
      <c r="D3" s="319"/>
      <c r="E3" s="319"/>
      <c r="F3" s="319"/>
      <c r="G3" s="319"/>
      <c r="H3" s="319"/>
      <c r="I3" s="319"/>
      <c r="J3" s="319"/>
      <c r="K3" s="319"/>
      <c r="L3" s="319"/>
    </row>
    <row r="4" spans="2:17" ht="15" x14ac:dyDescent="0.2">
      <c r="B4" s="279" t="s">
        <v>271</v>
      </c>
      <c r="C4" s="279"/>
      <c r="D4" s="279"/>
      <c r="E4" s="279"/>
      <c r="F4" s="279"/>
      <c r="G4" s="279"/>
      <c r="H4" s="279"/>
      <c r="I4" s="279"/>
      <c r="J4" s="279"/>
      <c r="K4" s="279"/>
      <c r="L4" s="279"/>
    </row>
    <row r="5" spans="2:17" ht="15" x14ac:dyDescent="0.2">
      <c r="K5" s="271"/>
    </row>
    <row r="6" spans="2:17" ht="60" x14ac:dyDescent="0.2">
      <c r="B6" s="273" t="s">
        <v>193</v>
      </c>
      <c r="C6" s="221" t="s">
        <v>246</v>
      </c>
      <c r="D6" s="213" t="s">
        <v>495</v>
      </c>
      <c r="E6" s="221" t="s">
        <v>247</v>
      </c>
      <c r="F6" s="213" t="s">
        <v>249</v>
      </c>
      <c r="G6" s="213" t="s">
        <v>496</v>
      </c>
      <c r="H6" s="213" t="s">
        <v>252</v>
      </c>
      <c r="I6" s="213" t="s">
        <v>497</v>
      </c>
      <c r="J6" s="221" t="s">
        <v>248</v>
      </c>
      <c r="K6" s="213" t="s">
        <v>253</v>
      </c>
      <c r="L6" s="213" t="s">
        <v>186</v>
      </c>
      <c r="M6" s="25"/>
      <c r="N6" s="25"/>
      <c r="O6" s="25"/>
      <c r="P6" s="25"/>
    </row>
    <row r="7" spans="2:17" s="32" customFormat="1" ht="15" x14ac:dyDescent="0.2">
      <c r="B7" s="320"/>
      <c r="C7" s="213" t="s">
        <v>498</v>
      </c>
      <c r="D7" s="321"/>
      <c r="E7" s="321"/>
      <c r="F7" s="321"/>
      <c r="G7" s="321"/>
      <c r="H7" s="321"/>
      <c r="I7" s="321"/>
      <c r="J7" s="321"/>
      <c r="K7" s="213"/>
      <c r="L7" s="322"/>
      <c r="M7" s="272"/>
      <c r="N7" s="272"/>
      <c r="O7" s="272"/>
      <c r="P7" s="272"/>
      <c r="Q7" s="272"/>
    </row>
    <row r="8" spans="2:17" ht="30" x14ac:dyDescent="0.2">
      <c r="B8" s="320">
        <v>1</v>
      </c>
      <c r="C8" s="213" t="s">
        <v>498</v>
      </c>
      <c r="D8" s="48" t="s">
        <v>499</v>
      </c>
      <c r="E8" s="323" t="s">
        <v>500</v>
      </c>
      <c r="F8" s="324">
        <v>9.7847483999999998</v>
      </c>
      <c r="G8" s="325"/>
      <c r="H8" s="326">
        <f t="shared" ref="H8:H19" si="0">F8</f>
        <v>9.7847483999999998</v>
      </c>
      <c r="I8" s="220"/>
      <c r="J8" s="220"/>
      <c r="K8" s="220"/>
      <c r="L8" s="327"/>
    </row>
    <row r="9" spans="2:17" ht="30" x14ac:dyDescent="0.2">
      <c r="B9" s="320">
        <v>2</v>
      </c>
      <c r="C9" s="320"/>
      <c r="D9" s="220" t="s">
        <v>501</v>
      </c>
      <c r="E9" s="328" t="s">
        <v>502</v>
      </c>
      <c r="F9" s="324">
        <v>15.3142283</v>
      </c>
      <c r="G9" s="324"/>
      <c r="H9" s="324">
        <f t="shared" si="0"/>
        <v>15.3142283</v>
      </c>
      <c r="I9" s="220"/>
      <c r="J9" s="220"/>
      <c r="K9" s="220"/>
      <c r="L9" s="329"/>
    </row>
    <row r="10" spans="2:17" ht="15" x14ac:dyDescent="0.2">
      <c r="B10" s="320">
        <v>3</v>
      </c>
      <c r="C10" s="320"/>
      <c r="D10" s="220" t="s">
        <v>503</v>
      </c>
      <c r="E10" s="328" t="s">
        <v>504</v>
      </c>
      <c r="F10" s="330">
        <v>63</v>
      </c>
      <c r="G10" s="221"/>
      <c r="H10" s="330">
        <f t="shared" si="0"/>
        <v>63</v>
      </c>
      <c r="I10" s="220"/>
      <c r="J10" s="220"/>
      <c r="K10" s="220"/>
      <c r="L10" s="329"/>
    </row>
    <row r="11" spans="2:17" ht="15" x14ac:dyDescent="0.2">
      <c r="B11" s="320">
        <v>4</v>
      </c>
      <c r="C11" s="320"/>
      <c r="D11" s="220" t="s">
        <v>505</v>
      </c>
      <c r="E11" s="328" t="s">
        <v>506</v>
      </c>
      <c r="F11" s="330">
        <v>0.40957179999999999</v>
      </c>
      <c r="G11" s="221"/>
      <c r="H11" s="330">
        <f t="shared" si="0"/>
        <v>0.40957179999999999</v>
      </c>
      <c r="I11" s="220"/>
      <c r="J11" s="220"/>
      <c r="K11" s="220"/>
      <c r="L11" s="329"/>
    </row>
    <row r="12" spans="2:17" ht="15" x14ac:dyDescent="0.2">
      <c r="B12" s="320">
        <v>5</v>
      </c>
      <c r="C12" s="320"/>
      <c r="D12" s="220" t="s">
        <v>499</v>
      </c>
      <c r="E12" s="328" t="s">
        <v>507</v>
      </c>
      <c r="F12" s="330">
        <v>3.6357940000000002</v>
      </c>
      <c r="G12" s="221"/>
      <c r="H12" s="330">
        <f t="shared" si="0"/>
        <v>3.6357940000000002</v>
      </c>
      <c r="I12" s="220"/>
      <c r="J12" s="220"/>
      <c r="K12" s="220"/>
      <c r="L12" s="329"/>
    </row>
    <row r="13" spans="2:17" ht="15" x14ac:dyDescent="0.2">
      <c r="B13" s="320">
        <v>6</v>
      </c>
      <c r="C13" s="320"/>
      <c r="D13" s="220" t="s">
        <v>499</v>
      </c>
      <c r="E13" s="328" t="s">
        <v>508</v>
      </c>
      <c r="F13" s="330">
        <v>0.10886170000000001</v>
      </c>
      <c r="G13" s="221"/>
      <c r="H13" s="330">
        <f t="shared" si="0"/>
        <v>0.10886170000000001</v>
      </c>
      <c r="I13" s="220"/>
      <c r="J13" s="220"/>
      <c r="K13" s="220"/>
      <c r="L13" s="329"/>
    </row>
    <row r="14" spans="2:17" ht="15" customHeight="1" x14ac:dyDescent="0.2">
      <c r="B14" s="320">
        <v>7</v>
      </c>
      <c r="C14" s="320"/>
      <c r="D14" s="220" t="s">
        <v>132</v>
      </c>
      <c r="E14" s="328" t="s">
        <v>509</v>
      </c>
      <c r="F14" s="330">
        <v>0.29207919999999998</v>
      </c>
      <c r="G14" s="221"/>
      <c r="H14" s="330">
        <f t="shared" si="0"/>
        <v>0.29207919999999998</v>
      </c>
      <c r="I14" s="220"/>
      <c r="J14" s="220"/>
      <c r="K14" s="220"/>
      <c r="L14" s="329"/>
    </row>
    <row r="15" spans="2:17" ht="30" x14ac:dyDescent="0.2">
      <c r="B15" s="320">
        <v>8</v>
      </c>
      <c r="C15" s="320"/>
      <c r="D15" s="220"/>
      <c r="E15" s="328" t="s">
        <v>510</v>
      </c>
      <c r="F15" s="330">
        <v>0.94292799999999999</v>
      </c>
      <c r="G15" s="221"/>
      <c r="H15" s="330">
        <f t="shared" si="0"/>
        <v>0.94292799999999999</v>
      </c>
      <c r="I15" s="220"/>
      <c r="J15" s="220"/>
      <c r="K15" s="220"/>
      <c r="L15" s="329"/>
    </row>
    <row r="16" spans="2:17" ht="30" x14ac:dyDescent="0.2">
      <c r="B16" s="320">
        <v>9</v>
      </c>
      <c r="C16" s="320"/>
      <c r="D16" s="220"/>
      <c r="E16" s="328" t="s">
        <v>511</v>
      </c>
      <c r="F16" s="330">
        <v>1.75</v>
      </c>
      <c r="G16" s="221"/>
      <c r="H16" s="330">
        <f t="shared" si="0"/>
        <v>1.75</v>
      </c>
      <c r="I16" s="220"/>
      <c r="J16" s="220"/>
      <c r="K16" s="220"/>
      <c r="L16" s="329"/>
    </row>
    <row r="17" spans="2:12" ht="15" x14ac:dyDescent="0.2">
      <c r="B17" s="320">
        <v>10</v>
      </c>
      <c r="C17" s="320"/>
      <c r="D17" s="220"/>
      <c r="E17" s="328" t="s">
        <v>512</v>
      </c>
      <c r="F17" s="330">
        <v>8.1766699999999998E-2</v>
      </c>
      <c r="G17" s="221"/>
      <c r="H17" s="330">
        <f t="shared" si="0"/>
        <v>8.1766699999999998E-2</v>
      </c>
      <c r="I17" s="220"/>
      <c r="J17" s="220"/>
      <c r="K17" s="220"/>
      <c r="L17" s="329"/>
    </row>
    <row r="18" spans="2:12" ht="30" x14ac:dyDescent="0.2">
      <c r="B18" s="320">
        <v>11</v>
      </c>
      <c r="C18" s="320"/>
      <c r="D18" s="220"/>
      <c r="E18" s="328" t="s">
        <v>513</v>
      </c>
      <c r="F18" s="330">
        <v>0.04</v>
      </c>
      <c r="G18" s="330"/>
      <c r="H18" s="330">
        <f t="shared" si="0"/>
        <v>0.04</v>
      </c>
      <c r="I18" s="220"/>
      <c r="J18" s="220"/>
      <c r="K18" s="220"/>
      <c r="L18" s="329"/>
    </row>
    <row r="19" spans="2:12" ht="15" x14ac:dyDescent="0.2">
      <c r="B19" s="220"/>
      <c r="C19" s="220" t="s">
        <v>9</v>
      </c>
      <c r="D19" s="220"/>
      <c r="E19" s="331" t="s">
        <v>514</v>
      </c>
      <c r="F19" s="330">
        <v>2.41</v>
      </c>
      <c r="G19" s="330"/>
      <c r="H19" s="330">
        <f t="shared" si="0"/>
        <v>2.41</v>
      </c>
      <c r="I19" s="220"/>
      <c r="J19" s="220"/>
      <c r="K19" s="220"/>
      <c r="L19" s="329"/>
    </row>
    <row r="20" spans="2:12" ht="15" x14ac:dyDescent="0.2">
      <c r="B20" s="220"/>
      <c r="C20" s="221" t="s">
        <v>139</v>
      </c>
      <c r="D20" s="220"/>
      <c r="E20" s="328"/>
      <c r="F20" s="220"/>
      <c r="G20" s="220"/>
      <c r="H20" s="330">
        <f>SUM(H8:H19)</f>
        <v>97.769978100000017</v>
      </c>
      <c r="I20" s="220"/>
      <c r="J20" s="220"/>
      <c r="K20" s="220"/>
      <c r="L20" s="329"/>
    </row>
    <row r="21" spans="2:12" ht="15" x14ac:dyDescent="0.2">
      <c r="B21" s="320"/>
      <c r="C21" s="213" t="s">
        <v>515</v>
      </c>
      <c r="D21" s="220"/>
      <c r="E21" s="328"/>
      <c r="F21" s="220"/>
      <c r="G21" s="220"/>
      <c r="H21" s="220"/>
      <c r="I21" s="220"/>
      <c r="J21" s="220"/>
      <c r="K21" s="220"/>
      <c r="L21" s="329"/>
    </row>
    <row r="22" spans="2:12" ht="15.75" x14ac:dyDescent="0.25">
      <c r="B22" s="320">
        <v>1</v>
      </c>
      <c r="C22" s="320"/>
      <c r="D22" s="320" t="s">
        <v>499</v>
      </c>
      <c r="E22" s="332" t="s">
        <v>516</v>
      </c>
      <c r="F22" s="221">
        <v>778.59</v>
      </c>
      <c r="G22" s="221">
        <v>765.16</v>
      </c>
      <c r="H22" s="333">
        <v>13.43</v>
      </c>
      <c r="I22" s="220"/>
      <c r="J22" s="334" t="s">
        <v>517</v>
      </c>
      <c r="K22" s="220" t="s">
        <v>518</v>
      </c>
      <c r="L22" s="335" t="s">
        <v>519</v>
      </c>
    </row>
    <row r="23" spans="2:12" ht="141.75" x14ac:dyDescent="0.2">
      <c r="B23" s="320">
        <v>2</v>
      </c>
      <c r="C23" s="213" t="s">
        <v>515</v>
      </c>
      <c r="D23" s="274" t="s">
        <v>520</v>
      </c>
      <c r="E23" s="336" t="s">
        <v>521</v>
      </c>
      <c r="F23" s="221">
        <v>135.87</v>
      </c>
      <c r="G23" s="221">
        <v>60.87</v>
      </c>
      <c r="H23" s="333">
        <v>0</v>
      </c>
      <c r="I23" s="221" t="s">
        <v>522</v>
      </c>
      <c r="J23" s="337" t="s">
        <v>523</v>
      </c>
      <c r="K23" s="215" t="s">
        <v>524</v>
      </c>
      <c r="L23" s="327" t="s">
        <v>525</v>
      </c>
    </row>
    <row r="24" spans="2:12" ht="155.25" x14ac:dyDescent="0.2">
      <c r="B24" s="320">
        <v>3</v>
      </c>
      <c r="C24" s="320"/>
      <c r="D24" s="34" t="s">
        <v>526</v>
      </c>
      <c r="E24" s="323" t="s">
        <v>527</v>
      </c>
      <c r="F24" s="324">
        <v>25.79</v>
      </c>
      <c r="G24" s="325">
        <v>25.79</v>
      </c>
      <c r="H24" s="326">
        <v>25.79</v>
      </c>
      <c r="I24" s="220"/>
      <c r="J24" s="220"/>
      <c r="K24" s="220" t="s">
        <v>518</v>
      </c>
      <c r="L24" s="327" t="s">
        <v>528</v>
      </c>
    </row>
    <row r="25" spans="2:12" ht="15" x14ac:dyDescent="0.2">
      <c r="B25" s="220"/>
      <c r="C25" s="220" t="s">
        <v>9</v>
      </c>
      <c r="D25" s="220"/>
      <c r="E25" s="328"/>
      <c r="F25" s="221"/>
      <c r="G25" s="221"/>
      <c r="H25" s="221"/>
      <c r="I25" s="220"/>
      <c r="J25" s="269"/>
      <c r="K25" s="220"/>
      <c r="L25" s="329"/>
    </row>
    <row r="26" spans="2:12" ht="15" x14ac:dyDescent="0.2">
      <c r="B26" s="220"/>
      <c r="C26" s="221" t="s">
        <v>139</v>
      </c>
      <c r="D26" s="220"/>
      <c r="E26" s="328"/>
      <c r="F26" s="221"/>
      <c r="G26" s="221"/>
      <c r="H26" s="330">
        <f>SUM(H22:H25)</f>
        <v>39.22</v>
      </c>
      <c r="I26" s="220"/>
      <c r="J26" s="269"/>
      <c r="K26" s="220"/>
      <c r="L26" s="329"/>
    </row>
    <row r="27" spans="2:12" ht="15" x14ac:dyDescent="0.2">
      <c r="B27" s="320"/>
      <c r="C27" s="213" t="s">
        <v>529</v>
      </c>
      <c r="D27" s="220"/>
      <c r="E27" s="328"/>
      <c r="F27" s="221"/>
      <c r="G27" s="221"/>
      <c r="H27" s="221"/>
      <c r="I27" s="220"/>
      <c r="J27" s="269"/>
      <c r="K27" s="220"/>
      <c r="L27" s="329"/>
    </row>
    <row r="28" spans="2:12" ht="15.75" x14ac:dyDescent="0.2">
      <c r="B28" s="320">
        <v>1</v>
      </c>
      <c r="C28" s="320"/>
      <c r="D28" s="320" t="s">
        <v>499</v>
      </c>
      <c r="E28" s="332" t="s">
        <v>516</v>
      </c>
      <c r="F28" s="221">
        <v>778.59</v>
      </c>
      <c r="G28" s="221">
        <v>753.26</v>
      </c>
      <c r="H28" s="338">
        <v>753.26</v>
      </c>
      <c r="I28" s="220"/>
      <c r="J28" s="339" t="s">
        <v>517</v>
      </c>
      <c r="K28" s="220" t="s">
        <v>518</v>
      </c>
      <c r="L28" s="335" t="s">
        <v>519</v>
      </c>
    </row>
    <row r="29" spans="2:12" ht="150" x14ac:dyDescent="0.2">
      <c r="B29" s="320">
        <v>2</v>
      </c>
      <c r="C29" s="213" t="s">
        <v>529</v>
      </c>
      <c r="D29" s="274" t="s">
        <v>520</v>
      </c>
      <c r="E29" s="336" t="s">
        <v>521</v>
      </c>
      <c r="F29" s="221"/>
      <c r="G29" s="330">
        <v>75</v>
      </c>
      <c r="H29" s="221">
        <v>135.87</v>
      </c>
      <c r="I29" s="221" t="s">
        <v>522</v>
      </c>
      <c r="J29" s="327" t="s">
        <v>523</v>
      </c>
      <c r="K29" s="215" t="s">
        <v>524</v>
      </c>
      <c r="L29" s="327" t="s">
        <v>525</v>
      </c>
    </row>
    <row r="30" spans="2:12" ht="15" x14ac:dyDescent="0.2">
      <c r="B30" s="320">
        <v>3</v>
      </c>
      <c r="C30" s="320"/>
      <c r="D30" s="220"/>
      <c r="E30" s="269"/>
      <c r="F30" s="221"/>
      <c r="G30" s="221"/>
      <c r="H30" s="221"/>
      <c r="I30" s="220"/>
      <c r="J30" s="220"/>
      <c r="K30" s="220"/>
      <c r="L30" s="329"/>
    </row>
    <row r="31" spans="2:12" ht="15" x14ac:dyDescent="0.2">
      <c r="B31" s="220"/>
      <c r="C31" s="220" t="s">
        <v>9</v>
      </c>
      <c r="D31" s="220"/>
      <c r="E31" s="269"/>
      <c r="F31" s="221"/>
      <c r="G31" s="221"/>
      <c r="H31" s="221"/>
      <c r="I31" s="220"/>
      <c r="J31" s="220"/>
      <c r="K31" s="220"/>
      <c r="L31" s="329"/>
    </row>
    <row r="32" spans="2:12" ht="15" x14ac:dyDescent="0.2">
      <c r="B32" s="220"/>
      <c r="C32" s="221" t="s">
        <v>139</v>
      </c>
      <c r="D32" s="220"/>
      <c r="E32" s="269"/>
      <c r="F32" s="221"/>
      <c r="G32" s="221"/>
      <c r="H32" s="330">
        <f>SUM(H28:H31)</f>
        <v>889.13</v>
      </c>
      <c r="I32" s="220"/>
      <c r="J32" s="220"/>
      <c r="K32" s="220"/>
      <c r="L32" s="329"/>
    </row>
    <row r="33" spans="2:12" ht="15" x14ac:dyDescent="0.2">
      <c r="B33" s="63" t="s">
        <v>250</v>
      </c>
      <c r="C33" s="51" t="s">
        <v>251</v>
      </c>
      <c r="L33" s="340"/>
    </row>
  </sheetData>
  <mergeCells count="3">
    <mergeCell ref="B2:L2"/>
    <mergeCell ref="B3:L3"/>
    <mergeCell ref="B4:L4"/>
  </mergeCells>
  <pageMargins left="0.27" right="0.25" top="1" bottom="1" header="0.25" footer="0.25"/>
  <pageSetup paperSize="9" scale="33"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showGridLines="0" tabSelected="1" view="pageBreakPreview" zoomScaleSheetLayoutView="100" workbookViewId="0">
      <selection activeCell="B4" sqref="B4:F4"/>
    </sheetView>
  </sheetViews>
  <sheetFormatPr defaultColWidth="9.28515625" defaultRowHeight="14.25" x14ac:dyDescent="0.2"/>
  <cols>
    <col min="1" max="2" width="9.28515625" style="85"/>
    <col min="3" max="3" width="42" style="85" customWidth="1"/>
    <col min="4" max="4" width="16.28515625" style="85" customWidth="1"/>
    <col min="5" max="5" width="12.5703125" style="85" customWidth="1"/>
    <col min="6" max="6" width="16.28515625" style="85" customWidth="1"/>
    <col min="7" max="16384" width="9.28515625" style="85"/>
  </cols>
  <sheetData>
    <row r="2" spans="2:6" ht="14.25" customHeight="1" x14ac:dyDescent="0.2">
      <c r="B2" s="279" t="s">
        <v>403</v>
      </c>
      <c r="C2" s="279"/>
      <c r="D2" s="279"/>
      <c r="E2" s="279"/>
      <c r="F2" s="279"/>
    </row>
    <row r="3" spans="2:6" ht="14.25" customHeight="1" x14ac:dyDescent="0.2">
      <c r="B3" s="279" t="str">
        <f>'F1'!$B$3</f>
        <v>BTPS</v>
      </c>
      <c r="C3" s="279"/>
      <c r="D3" s="279"/>
      <c r="E3" s="279"/>
      <c r="F3" s="279"/>
    </row>
    <row r="4" spans="2:6" ht="14.25" customHeight="1" x14ac:dyDescent="0.2">
      <c r="B4" s="279" t="s">
        <v>298</v>
      </c>
      <c r="C4" s="279"/>
      <c r="D4" s="279"/>
      <c r="E4" s="279"/>
      <c r="F4" s="279"/>
    </row>
    <row r="6" spans="2:6" ht="15" customHeight="1" x14ac:dyDescent="0.2">
      <c r="B6" s="288" t="s">
        <v>193</v>
      </c>
      <c r="C6" s="299" t="s">
        <v>18</v>
      </c>
      <c r="D6" s="288" t="s">
        <v>404</v>
      </c>
      <c r="E6" s="135" t="s">
        <v>405</v>
      </c>
      <c r="F6" s="15" t="s">
        <v>467</v>
      </c>
    </row>
    <row r="7" spans="2:6" ht="15" x14ac:dyDescent="0.2">
      <c r="B7" s="288"/>
      <c r="C7" s="299"/>
      <c r="D7" s="288"/>
      <c r="E7" s="15" t="s">
        <v>239</v>
      </c>
      <c r="F7" s="15" t="s">
        <v>229</v>
      </c>
    </row>
    <row r="8" spans="2:6" ht="15" x14ac:dyDescent="0.2">
      <c r="B8" s="288"/>
      <c r="C8" s="299"/>
      <c r="D8" s="86" t="s">
        <v>3</v>
      </c>
      <c r="E8" s="15" t="s">
        <v>5</v>
      </c>
      <c r="F8" s="15" t="s">
        <v>8</v>
      </c>
    </row>
    <row r="9" spans="2:6" ht="15" x14ac:dyDescent="0.2">
      <c r="B9" s="87">
        <v>1</v>
      </c>
      <c r="C9" s="28" t="s">
        <v>299</v>
      </c>
      <c r="D9" s="110">
        <v>95.06</v>
      </c>
      <c r="E9" s="110">
        <v>39.22</v>
      </c>
      <c r="F9" s="110">
        <v>889.13</v>
      </c>
    </row>
    <row r="10" spans="2:6" x14ac:dyDescent="0.2">
      <c r="B10" s="28"/>
      <c r="C10" s="28"/>
      <c r="D10" s="101"/>
      <c r="E10" s="101"/>
      <c r="F10" s="101"/>
    </row>
    <row r="11" spans="2:6" ht="15" x14ac:dyDescent="0.2">
      <c r="B11" s="87">
        <v>2</v>
      </c>
      <c r="C11" s="88" t="s">
        <v>187</v>
      </c>
      <c r="D11" s="101"/>
      <c r="E11" s="101"/>
      <c r="F11" s="101"/>
    </row>
    <row r="12" spans="2:6" x14ac:dyDescent="0.2">
      <c r="B12" s="28"/>
      <c r="C12" s="28" t="s">
        <v>192</v>
      </c>
      <c r="D12" s="101"/>
      <c r="E12" s="101"/>
      <c r="F12" s="101"/>
    </row>
    <row r="13" spans="2:6" x14ac:dyDescent="0.2">
      <c r="B13" s="28"/>
      <c r="C13" s="28" t="s">
        <v>191</v>
      </c>
      <c r="D13" s="101"/>
      <c r="E13" s="101"/>
      <c r="F13" s="101"/>
    </row>
    <row r="14" spans="2:6" x14ac:dyDescent="0.2">
      <c r="B14" s="28"/>
      <c r="C14" s="28" t="s">
        <v>9</v>
      </c>
      <c r="D14" s="101"/>
      <c r="E14" s="101"/>
      <c r="F14" s="101"/>
    </row>
    <row r="15" spans="2:6" ht="15" x14ac:dyDescent="0.2">
      <c r="B15" s="28"/>
      <c r="C15" s="88" t="s">
        <v>185</v>
      </c>
      <c r="D15" s="110">
        <f>SUM(D12:D14)</f>
        <v>0</v>
      </c>
      <c r="E15" s="110">
        <f>SUM(E12:E14)</f>
        <v>0</v>
      </c>
      <c r="F15" s="110">
        <f>SUM(F12:F14)</f>
        <v>0</v>
      </c>
    </row>
    <row r="16" spans="2:6" x14ac:dyDescent="0.2">
      <c r="B16" s="28"/>
      <c r="C16" s="28"/>
      <c r="D16" s="101"/>
      <c r="E16" s="101"/>
      <c r="F16" s="101"/>
    </row>
    <row r="17" spans="2:6" x14ac:dyDescent="0.2">
      <c r="B17" s="87">
        <v>3</v>
      </c>
      <c r="C17" s="28" t="s">
        <v>0</v>
      </c>
      <c r="D17" s="101"/>
      <c r="E17" s="101"/>
      <c r="F17" s="101"/>
    </row>
    <row r="18" spans="2:6" x14ac:dyDescent="0.2">
      <c r="B18" s="87">
        <v>4</v>
      </c>
      <c r="C18" s="28" t="s">
        <v>188</v>
      </c>
      <c r="D18" s="101">
        <f>D9</f>
        <v>95.06</v>
      </c>
      <c r="E18" s="101">
        <f>E9</f>
        <v>39.22</v>
      </c>
      <c r="F18" s="101">
        <f>F9</f>
        <v>889.13</v>
      </c>
    </row>
    <row r="19" spans="2:6" x14ac:dyDescent="0.2">
      <c r="B19" s="87">
        <v>5</v>
      </c>
      <c r="C19" s="28" t="s">
        <v>300</v>
      </c>
      <c r="D19" s="101"/>
      <c r="E19" s="101"/>
      <c r="F19" s="101"/>
    </row>
    <row r="20" spans="2:6" ht="15" x14ac:dyDescent="0.2">
      <c r="B20" s="28"/>
      <c r="C20" s="28"/>
      <c r="D20" s="106"/>
      <c r="E20" s="106"/>
      <c r="F20" s="106"/>
    </row>
    <row r="21" spans="2:6" ht="15" x14ac:dyDescent="0.2">
      <c r="B21" s="87">
        <v>6</v>
      </c>
      <c r="C21" s="88" t="s">
        <v>301</v>
      </c>
      <c r="D21" s="110">
        <f>D15+D17+D18+D19</f>
        <v>95.06</v>
      </c>
      <c r="E21" s="110">
        <f>SUM(E18:E20)</f>
        <v>39.22</v>
      </c>
      <c r="F21" s="110">
        <f>F15+F17+F18+F19</f>
        <v>889.13</v>
      </c>
    </row>
  </sheetData>
  <mergeCells count="6">
    <mergeCell ref="D6:D7"/>
    <mergeCell ref="B6:B8"/>
    <mergeCell ref="C6:C8"/>
    <mergeCell ref="B2:F2"/>
    <mergeCell ref="B3:F3"/>
    <mergeCell ref="B4:F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6</vt:i4>
      </vt:variant>
    </vt:vector>
  </HeadingPairs>
  <TitlesOfParts>
    <vt:vector size="27" baseType="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F11.1</vt:lpstr>
      <vt:lpstr>F12</vt:lpstr>
      <vt:lpstr>F13</vt:lpstr>
      <vt:lpstr>F15</vt:lpstr>
      <vt:lpstr>Checklist!Print_Area</vt:lpstr>
      <vt:lpstr>'F15'!Print_Area</vt:lpstr>
      <vt:lpstr>'F6'!Print_Area</vt:lpstr>
      <vt:lpstr>'F7'!Print_Area</vt:lpstr>
      <vt:lpstr>'F8'!Print_Area</vt:lpstr>
      <vt:lpstr>'F9'!Print_Area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2025-11-28T12:01:09Z</cp:lastPrinted>
  <dcterms:created xsi:type="dcterms:W3CDTF">2004-07-28T05:30:50Z</dcterms:created>
  <dcterms:modified xsi:type="dcterms:W3CDTF">2025-12-16T10:41:49Z</dcterms:modified>
</cp:coreProperties>
</file>